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5A1A8C-BBB9-4D89-AC49-51F8A64AF19C}" xr6:coauthVersionLast="47" xr6:coauthVersionMax="47" xr10:uidLastSave="{00000000-0000-0000-0000-000000000000}"/>
  <bookViews>
    <workbookView xWindow="-110" yWindow="-110" windowWidth="19420" windowHeight="10300" tabRatio="680" xr2:uid="{00000000-000D-0000-FFFF-FFFF00000000}"/>
  </bookViews>
  <sheets>
    <sheet name="PRISE EN MAIN" sheetId="20" r:id="rId1"/>
    <sheet name="BILAN HUMIQUE" sheetId="18" r:id="rId2"/>
    <sheet name="AMENDEMENTS" sheetId="14" r:id="rId3"/>
    <sheet name="ENGRAIS" sheetId="13" r:id="rId4"/>
    <sheet name="LISTES DES PRODUITS" sheetId="12" r:id="rId5"/>
  </sheets>
  <definedNames>
    <definedName name="Masse_terre_fine">'BILAN HUMIQUE'!$D$9</definedName>
    <definedName name="Surface">'BILAN HUMIQUE'!$D$4</definedName>
    <definedName name="Tx_argile">'BILAN HUMIQUE'!$D$11</definedName>
    <definedName name="Tx_MO">'BILAN HUMIQUE'!$D$12</definedName>
    <definedName name="Volume_terre">'BILAN HUMIQUE'!$D$8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4" l="1"/>
  <c r="P21" i="14"/>
  <c r="P22" i="14"/>
  <c r="G19" i="14"/>
  <c r="P19" i="14" s="1"/>
  <c r="B22" i="14"/>
  <c r="C22" i="14"/>
  <c r="D22" i="14"/>
  <c r="G22" i="14"/>
  <c r="H22" i="14"/>
  <c r="K22" i="14"/>
  <c r="L22" i="14"/>
  <c r="M22" i="14"/>
  <c r="N22" i="14"/>
  <c r="O22" i="14"/>
  <c r="Q22" i="14"/>
  <c r="B21" i="14"/>
  <c r="C21" i="14"/>
  <c r="D21" i="14"/>
  <c r="G21" i="14"/>
  <c r="H21" i="14"/>
  <c r="K21" i="14"/>
  <c r="L21" i="14"/>
  <c r="M21" i="14"/>
  <c r="N21" i="14"/>
  <c r="O21" i="14"/>
  <c r="Q21" i="14"/>
  <c r="F21" i="14" l="1"/>
  <c r="J22" i="14"/>
  <c r="I22" i="14"/>
  <c r="F22" i="14"/>
  <c r="J21" i="14"/>
  <c r="I21" i="14"/>
  <c r="B20" i="14"/>
  <c r="C20" i="14"/>
  <c r="D20" i="14"/>
  <c r="G20" i="14"/>
  <c r="H20" i="14"/>
  <c r="K20" i="14"/>
  <c r="L20" i="14"/>
  <c r="M20" i="14"/>
  <c r="N20" i="14"/>
  <c r="O20" i="14"/>
  <c r="Q20" i="14"/>
  <c r="B12" i="14"/>
  <c r="C12" i="14"/>
  <c r="D12" i="14"/>
  <c r="H12" i="14"/>
  <c r="P12" i="14"/>
  <c r="B13" i="14"/>
  <c r="C13" i="14"/>
  <c r="D13" i="14"/>
  <c r="H13" i="14"/>
  <c r="P13" i="14"/>
  <c r="M18" i="18"/>
  <c r="D8" i="18"/>
  <c r="D9" i="18" s="1"/>
  <c r="L6" i="18" s="1"/>
  <c r="P7" i="14"/>
  <c r="P8" i="14"/>
  <c r="P9" i="14"/>
  <c r="P10" i="14"/>
  <c r="P11" i="14"/>
  <c r="Q19" i="14"/>
  <c r="H7" i="14"/>
  <c r="H8" i="14"/>
  <c r="H9" i="14"/>
  <c r="H10" i="14"/>
  <c r="H11" i="14"/>
  <c r="D7" i="14"/>
  <c r="D8" i="14"/>
  <c r="D9" i="14"/>
  <c r="D10" i="14"/>
  <c r="D11" i="14"/>
  <c r="C7" i="14"/>
  <c r="C8" i="14"/>
  <c r="C9" i="14"/>
  <c r="C10" i="14"/>
  <c r="C11" i="14"/>
  <c r="B7" i="14"/>
  <c r="B8" i="14"/>
  <c r="B9" i="14"/>
  <c r="B10" i="14"/>
  <c r="B11" i="14"/>
  <c r="O19" i="14"/>
  <c r="N19" i="14"/>
  <c r="M19" i="14"/>
  <c r="L19" i="14"/>
  <c r="K19" i="14"/>
  <c r="H19" i="14"/>
  <c r="D19" i="14"/>
  <c r="C19" i="14"/>
  <c r="K9" i="13"/>
  <c r="I20" i="14" l="1"/>
  <c r="J20" i="14"/>
  <c r="J19" i="14"/>
  <c r="I19" i="14"/>
  <c r="F19" i="14"/>
  <c r="F20" i="14"/>
  <c r="W7" i="13" l="1"/>
  <c r="W8" i="13"/>
  <c r="T7" i="13"/>
  <c r="T8" i="13"/>
  <c r="D7" i="13" l="1"/>
  <c r="L7" i="13" s="1"/>
  <c r="E7" i="13"/>
  <c r="M7" i="13" s="1"/>
  <c r="F7" i="13"/>
  <c r="N7" i="13" s="1"/>
  <c r="G7" i="13"/>
  <c r="O7" i="13" s="1"/>
  <c r="H7" i="13"/>
  <c r="P7" i="13" s="1"/>
  <c r="I7" i="13"/>
  <c r="J7" i="13"/>
  <c r="D8" i="13"/>
  <c r="L8" i="13" s="1"/>
  <c r="E8" i="13"/>
  <c r="M8" i="13" s="1"/>
  <c r="F8" i="13"/>
  <c r="N8" i="13" s="1"/>
  <c r="G8" i="13"/>
  <c r="O8" i="13" s="1"/>
  <c r="H8" i="13"/>
  <c r="P8" i="13" s="1"/>
  <c r="I8" i="13"/>
  <c r="J8" i="13"/>
  <c r="C8" i="13"/>
  <c r="C7" i="13"/>
  <c r="B8" i="13"/>
  <c r="B7" i="13"/>
  <c r="L9" i="13" l="1"/>
  <c r="Q7" i="13"/>
  <c r="R7" i="13"/>
  <c r="Q8" i="13"/>
  <c r="R8" i="13"/>
  <c r="Q9" i="13" l="1"/>
  <c r="S7" i="13" l="1"/>
  <c r="S8" i="13" l="1"/>
  <c r="U8" i="13"/>
  <c r="V8" i="13" l="1"/>
  <c r="Q23" i="14" l="1"/>
  <c r="U7" i="13"/>
  <c r="P9" i="13" l="1"/>
  <c r="F23" i="14"/>
  <c r="P18" i="18"/>
  <c r="M19" i="18" s="1"/>
  <c r="J23" i="14"/>
  <c r="G23" i="14"/>
  <c r="V7" i="13"/>
  <c r="L12" i="18"/>
  <c r="M23" i="18" l="1"/>
  <c r="R9" i="13"/>
  <c r="M24" i="18"/>
  <c r="B1" i="14"/>
  <c r="E12" i="14" l="1"/>
  <c r="E13" i="14"/>
  <c r="E9" i="14"/>
  <c r="E11" i="14"/>
  <c r="E10" i="14"/>
  <c r="E7" i="14"/>
  <c r="E8" i="14"/>
  <c r="L13" i="18"/>
  <c r="K9" i="14" l="1"/>
  <c r="I9" i="14"/>
  <c r="K13" i="14"/>
  <c r="I13" i="14"/>
  <c r="K8" i="14"/>
  <c r="I8" i="14"/>
  <c r="K7" i="14"/>
  <c r="I7" i="14"/>
  <c r="K10" i="14"/>
  <c r="I10" i="14"/>
  <c r="K11" i="14"/>
  <c r="I11" i="14"/>
  <c r="K12" i="14"/>
  <c r="I12" i="14"/>
  <c r="O12" i="14"/>
  <c r="N12" i="14"/>
  <c r="L12" i="14"/>
  <c r="F12" i="14"/>
  <c r="M12" i="14"/>
  <c r="L13" i="14"/>
  <c r="M13" i="14"/>
  <c r="F13" i="14"/>
  <c r="N13" i="14"/>
  <c r="O13" i="14"/>
  <c r="N10" i="14"/>
  <c r="O10" i="14"/>
  <c r="L10" i="14"/>
  <c r="M10" i="14"/>
  <c r="M11" i="14"/>
  <c r="L11" i="14"/>
  <c r="N11" i="14"/>
  <c r="O11" i="14"/>
  <c r="L8" i="14"/>
  <c r="N8" i="14"/>
  <c r="M8" i="14"/>
  <c r="O8" i="14"/>
  <c r="F7" i="14"/>
  <c r="L7" i="14"/>
  <c r="M7" i="14"/>
  <c r="N7" i="14"/>
  <c r="O7" i="14"/>
  <c r="O9" i="14"/>
  <c r="M9" i="14"/>
  <c r="N9" i="14"/>
  <c r="L9" i="14"/>
  <c r="F10" i="14"/>
  <c r="F9" i="14"/>
  <c r="F8" i="14"/>
  <c r="F11" i="14"/>
  <c r="U9" i="13"/>
  <c r="J8" i="14" l="1"/>
  <c r="G8" i="14"/>
  <c r="J13" i="14"/>
  <c r="G13" i="14"/>
  <c r="G7" i="14"/>
  <c r="J7" i="14"/>
  <c r="J9" i="14"/>
  <c r="G9" i="14"/>
  <c r="J12" i="14"/>
  <c r="G12" i="14"/>
  <c r="G10" i="14"/>
  <c r="J10" i="14"/>
  <c r="G11" i="14"/>
  <c r="J11" i="14"/>
  <c r="V9" i="13"/>
  <c r="S9" i="13"/>
  <c r="N9" i="13" l="1"/>
  <c r="M9" i="13"/>
  <c r="O9" i="13"/>
</calcChain>
</file>

<file path=xl/sharedStrings.xml><?xml version="1.0" encoding="utf-8"?>
<sst xmlns="http://schemas.openxmlformats.org/spreadsheetml/2006/main" count="343" uniqueCount="160">
  <si>
    <t>ISMO</t>
  </si>
  <si>
    <t>N</t>
  </si>
  <si>
    <t>P</t>
  </si>
  <si>
    <t>K</t>
  </si>
  <si>
    <t>Ca</t>
  </si>
  <si>
    <t>Surface parcelle à fertiliser</t>
  </si>
  <si>
    <t>m²</t>
  </si>
  <si>
    <t>Quantité dans l'engrais en % de MB</t>
  </si>
  <si>
    <r>
      <t xml:space="preserve">Quantité éléments apportés en </t>
    </r>
    <r>
      <rPr>
        <b/>
        <sz val="12"/>
        <color theme="0"/>
        <rFont val="Calibri"/>
        <family val="2"/>
      </rPr>
      <t>kg/ha</t>
    </r>
  </si>
  <si>
    <t>Produit</t>
  </si>
  <si>
    <t>Organique/minéral</t>
  </si>
  <si>
    <t>Compatible en agriculture biologique</t>
  </si>
  <si>
    <t>Mg</t>
  </si>
  <si>
    <t>Taux MO (% de MB)</t>
  </si>
  <si>
    <t>ISMO (% de MO)</t>
  </si>
  <si>
    <t>Dose engrais (kg/ha)</t>
  </si>
  <si>
    <t>Apport N</t>
  </si>
  <si>
    <t>Apport P</t>
  </si>
  <si>
    <t>Apport K</t>
  </si>
  <si>
    <t>Apport Ca</t>
  </si>
  <si>
    <t>Apport Mg</t>
  </si>
  <si>
    <t>Apport MO totale</t>
  </si>
  <si>
    <t>Apport MO stable</t>
  </si>
  <si>
    <t xml:space="preserve">Quantité à apporter à la parcelle (en kg) </t>
  </si>
  <si>
    <t>Prix/kg *</t>
  </si>
  <si>
    <t>Prix/ha *</t>
  </si>
  <si>
    <t>Prix/parcelle *</t>
  </si>
  <si>
    <t>Matériel d'épandage</t>
  </si>
  <si>
    <t>10-12-24</t>
  </si>
  <si>
    <t>Boues de station d'épuration séchées (ESS)</t>
  </si>
  <si>
    <t>Total</t>
  </si>
  <si>
    <t>Besoin total en MO stable = valeur du bilan humique :</t>
  </si>
  <si>
    <t>t/ha</t>
  </si>
  <si>
    <t>Quantité éléments apportés en kg/ha</t>
  </si>
  <si>
    <t>Produits</t>
  </si>
  <si>
    <t>Tx MO en %</t>
  </si>
  <si>
    <t>Dose amendement (kg/ha)</t>
  </si>
  <si>
    <t>Quantité à apporter à la parcelle (en kg)</t>
  </si>
  <si>
    <t>Volume de produit correspondant (m3)</t>
  </si>
  <si>
    <t>UAB_Co-compost DV/déchets abattoir (GIE MERÜ)</t>
  </si>
  <si>
    <t>Co-compost de déchets verts et de boues d'épuration (MANGO)</t>
  </si>
  <si>
    <t>Apport de MO stable (kg/ha)</t>
  </si>
  <si>
    <t>-&gt; descendre pour la liste des amendements</t>
  </si>
  <si>
    <t>éléments donnés en % de MB</t>
  </si>
  <si>
    <t>Type</t>
  </si>
  <si>
    <t>Taux MO (en % MB)</t>
  </si>
  <si>
    <t>ISMO (en % MO)</t>
  </si>
  <si>
    <t>Masse volumique compactée (en g/L)</t>
  </si>
  <si>
    <t>Prix au kg*</t>
  </si>
  <si>
    <t>Organique</t>
  </si>
  <si>
    <t>oui</t>
  </si>
  <si>
    <t>UAB_Orgacal (OZD)</t>
  </si>
  <si>
    <t>non</t>
  </si>
  <si>
    <t>Epandeur à engrais avec tapis</t>
  </si>
  <si>
    <t>0-32-16</t>
  </si>
  <si>
    <t xml:space="preserve">17 17 17 </t>
  </si>
  <si>
    <t xml:space="preserve">Apex </t>
  </si>
  <si>
    <t>Basalte Creek Aymes</t>
  </si>
  <si>
    <t>Calcimer T400</t>
  </si>
  <si>
    <t>Calcinit</t>
  </si>
  <si>
    <t>KSC 5</t>
  </si>
  <si>
    <t>Locastart</t>
  </si>
  <si>
    <t>Sulfate de potasse</t>
  </si>
  <si>
    <t>Superphosphate</t>
  </si>
  <si>
    <t>Nitrabore</t>
  </si>
  <si>
    <t>Nitrate de potasse</t>
  </si>
  <si>
    <t>Urée</t>
  </si>
  <si>
    <t>Amendements</t>
  </si>
  <si>
    <t>Masse volumique compactée (en g/L ou kg/m3)</t>
  </si>
  <si>
    <t>Les données de l'analyse de sol</t>
  </si>
  <si>
    <t>BILAN HUMIQUE</t>
  </si>
  <si>
    <t>Surface</t>
  </si>
  <si>
    <t>m</t>
  </si>
  <si>
    <t>Masse de terre fine (t/ha) x Taux MO/100</t>
  </si>
  <si>
    <t>Densité apparente (Da)</t>
  </si>
  <si>
    <t xml:space="preserve"> t/ha</t>
  </si>
  <si>
    <t>Volume de terre</t>
  </si>
  <si>
    <t>m3</t>
  </si>
  <si>
    <t xml:space="preserve">Masse terre fine </t>
  </si>
  <si>
    <t>t</t>
  </si>
  <si>
    <t>%</t>
  </si>
  <si>
    <t>Stock d'humus (t/ha) x K2/100</t>
  </si>
  <si>
    <t>Taux de MO</t>
  </si>
  <si>
    <t>K2</t>
  </si>
  <si>
    <t>1 par défaut</t>
  </si>
  <si>
    <t xml:space="preserve">kg/ha </t>
  </si>
  <si>
    <r>
      <t xml:space="preserve">Gains de MO résidus de culture ou engrais verts </t>
    </r>
    <r>
      <rPr>
        <b/>
        <sz val="12"/>
        <color theme="1"/>
        <rFont val="Calibri"/>
        <family val="2"/>
        <scheme val="minor"/>
      </rPr>
      <t>si connu :</t>
    </r>
  </si>
  <si>
    <t xml:space="preserve">Masse terre fine x (Taux de MO optimal - Taux MO actuel) </t>
  </si>
  <si>
    <t xml:space="preserve"> t/ha </t>
  </si>
  <si>
    <t>Taux de MO optimal :</t>
  </si>
  <si>
    <t>résidus de cultures en maraîchages = 0</t>
  </si>
  <si>
    <t>Redressement :</t>
  </si>
  <si>
    <t xml:space="preserve">Besoin total en humus = pertes - gains + redressement éventuel </t>
  </si>
  <si>
    <t xml:space="preserve">t/ha </t>
  </si>
  <si>
    <t>kg/ha</t>
  </si>
  <si>
    <t xml:space="preserve">Source : Chambre d'Agriculture Gironde </t>
  </si>
  <si>
    <t>Epandeur à fumier ou à compost</t>
  </si>
  <si>
    <t xml:space="preserve">Le stock de matière organique actuel </t>
  </si>
  <si>
    <t xml:space="preserve">Redressement de la MO : quantité de MO stable à apporter (facultatif) </t>
  </si>
  <si>
    <t>Besoins total en matière organique stable</t>
  </si>
  <si>
    <t>Surface parcelle à amender</t>
  </si>
  <si>
    <t xml:space="preserve">Quantité de produit à apporter pour compenszer les pertes calculées par le bilan humique </t>
  </si>
  <si>
    <t>MO et éléments apportés par l'apport du produit organique</t>
  </si>
  <si>
    <t xml:space="preserve">Perte annuelle de matière organique </t>
  </si>
  <si>
    <t xml:space="preserve">
</t>
  </si>
  <si>
    <t>Profondeur*</t>
  </si>
  <si>
    <t xml:space="preserve">* profondeur de prélevement de l'échantillon de sol </t>
  </si>
  <si>
    <t xml:space="preserve">Taux d'argile </t>
  </si>
  <si>
    <t>voir ci-dessous (1)</t>
  </si>
  <si>
    <r>
      <t xml:space="preserve">(1) si le taux d'argile n'est pas disponible dans les analyses de sol, faire une estimation grâce à la </t>
    </r>
    <r>
      <rPr>
        <b/>
        <i/>
        <sz val="11"/>
        <color theme="1"/>
        <rFont val="Calibri"/>
        <family val="2"/>
        <scheme val="minor"/>
      </rPr>
      <t>méthode du boudin</t>
    </r>
    <r>
      <rPr>
        <i/>
        <sz val="11"/>
        <color theme="1"/>
        <rFont val="Calibri"/>
        <family val="2"/>
        <scheme val="minor"/>
      </rPr>
      <t xml:space="preserve"> (explications ci-dessous)</t>
    </r>
  </si>
  <si>
    <t>Synthèse</t>
  </si>
  <si>
    <t>Minéral</t>
  </si>
  <si>
    <t>Demetias VI/ Physiopro P2</t>
  </si>
  <si>
    <t>Organo-minéral</t>
  </si>
  <si>
    <t xml:space="preserve">17-17-17 </t>
  </si>
  <si>
    <t>15 15 15</t>
  </si>
  <si>
    <t>15-5-20</t>
  </si>
  <si>
    <t>Apex 33</t>
  </si>
  <si>
    <t>Club n°6</t>
  </si>
  <si>
    <t>Co actyl NP</t>
  </si>
  <si>
    <t>Duo Pac 22/ Top Phos M22</t>
  </si>
  <si>
    <t>Gypse poudre</t>
  </si>
  <si>
    <t>Gypse granulés</t>
  </si>
  <si>
    <t>Humisol</t>
  </si>
  <si>
    <t>Inpulse</t>
  </si>
  <si>
    <t>KSC 1</t>
  </si>
  <si>
    <t>KSC 7</t>
  </si>
  <si>
    <t>Organofly (en projet)</t>
  </si>
  <si>
    <t>5-10-25 P</t>
  </si>
  <si>
    <t>Lithammo</t>
  </si>
  <si>
    <t>MKP Krista</t>
  </si>
  <si>
    <t>Nutrisolv SK2</t>
  </si>
  <si>
    <t>Physiopro PK1</t>
  </si>
  <si>
    <t>Solenature/ Azoflore C</t>
  </si>
  <si>
    <t>Solupotasse Krista SOP</t>
  </si>
  <si>
    <t>Sulfate de potasse BIO</t>
  </si>
  <si>
    <t>Timasol</t>
  </si>
  <si>
    <t>12-6-22 P</t>
  </si>
  <si>
    <t>UAB_Farine de poisson (RECYF)</t>
  </si>
  <si>
    <t>Epandeur à nappe, pendulaire ou centrifuge à tapis</t>
  </si>
  <si>
    <t>UAB_Biostimulant de poisson (SODIL)</t>
  </si>
  <si>
    <t>Compost industriel (OZD)</t>
  </si>
  <si>
    <t>Orgaone (OZD)</t>
  </si>
  <si>
    <t>Broyat de papiers d'archives (Nouméa archives)</t>
  </si>
  <si>
    <t>Engrais et biostimulants</t>
  </si>
  <si>
    <t>UAB_Lombrithé (AgriNewConcept)</t>
  </si>
  <si>
    <t>Prix au kg ou L*</t>
  </si>
  <si>
    <t>UAB_Vinasse de distillerie (Terre du Sud)</t>
  </si>
  <si>
    <t>Epandeur à lisier</t>
  </si>
  <si>
    <t>Epandeur à lisier, système de fertigation et pulvérisation</t>
  </si>
  <si>
    <t>UAB_Connexes de scierie (Bois du Nord)</t>
  </si>
  <si>
    <t xml:space="preserve">UAB_Bois raméal fragmenté </t>
  </si>
  <si>
    <t>Broyat de déchets verts</t>
  </si>
  <si>
    <t>UAB_Compost déchets verts (SIVM Sud, Pacifique Environnement)</t>
  </si>
  <si>
    <t>kg</t>
  </si>
  <si>
    <t xml:space="preserve">* les prix ne prennent pas en compte les aides. Ils peuvent varier selon les commandes et les fournisseurs : n'hésitez pas à vous renseigner directement auprès des fournisseurs </t>
  </si>
  <si>
    <t>* les prix sont issus du "Tarifs du dock des engrais" du 06/03/2024, des producteurs des produits organiques locaux et ne prennent pas en compte les aides. Ils peuvent varier selon les commandes et les fournisseurs : n'hésitez pas à vous renseigner directement auprès des fournisseurs.</t>
  </si>
  <si>
    <t xml:space="preserve">* les prix sont issus du "Tarifs du dock des engrais" du 06/03/2024, des producteurs des produits organiques locaux et ne prennent pas en compte les aides. Ils peuvent varier selon les commandes et les fournisseurs : n'hésitez pas à vous renseigner directement auprès des fournisseurs </t>
  </si>
  <si>
    <t xml:space="preserve">Pour plus de détails sur les produits organiques locaux, consultez le Guide des produits organiques locaux édité par Valorga en 2024 : </t>
  </si>
  <si>
    <t>Les amendement et engrais organiques locaux - Valorga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</si>
</sst>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Aptos"/>
      <family val="2"/>
    </font>
    <font>
      <sz val="11"/>
      <color theme="1"/>
      <name val="Aptos Narrow"/>
      <family val="2"/>
    </font>
    <font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2" tint="-9.9978637043366805E-2"/>
        <bgColor rgb="FFFFE699"/>
      </patternFill>
    </fill>
    <fill>
      <patternFill patternType="solid">
        <fgColor rgb="FFD59A5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C57F31"/>
        <bgColor rgb="FFFFE699"/>
      </patternFill>
    </fill>
    <fill>
      <patternFill patternType="solid">
        <fgColor rgb="FF6DA9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B6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84D1E"/>
        <bgColor rgb="FFFFE699"/>
      </patternFill>
    </fill>
    <fill>
      <patternFill patternType="solid">
        <fgColor rgb="FFC57F31"/>
        <bgColor rgb="FF92D05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rgb="FFFFE699"/>
      </patternFill>
    </fill>
    <fill>
      <patternFill patternType="solid">
        <fgColor theme="9" tint="0.39997558519241921"/>
        <bgColor rgb="FFFFE6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FFE699"/>
      </patternFill>
    </fill>
    <fill>
      <patternFill patternType="solid">
        <fgColor rgb="FFFDEFE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theme="4"/>
      </patternFill>
    </fill>
    <fill>
      <patternFill patternType="solid">
        <fgColor rgb="FF6DA945"/>
        <bgColor theme="4"/>
      </patternFill>
    </fill>
    <fill>
      <patternFill patternType="solid">
        <fgColor rgb="FFC57F31"/>
        <bgColor indexed="64"/>
      </patternFill>
    </fill>
    <fill>
      <patternFill patternType="solid">
        <fgColor rgb="FFC57F31"/>
        <bgColor theme="4"/>
      </patternFill>
    </fill>
    <fill>
      <patternFill patternType="solid">
        <fgColor theme="2" tint="-0.249977111117893"/>
        <bgColor rgb="FFFFE699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medium">
        <color rgb="FF784D1E"/>
      </top>
      <bottom/>
      <diagonal/>
    </border>
    <border>
      <left/>
      <right/>
      <top/>
      <bottom style="medium">
        <color rgb="FF784D1E"/>
      </bottom>
      <diagonal/>
    </border>
    <border>
      <left/>
      <right style="medium">
        <color rgb="FF784D1E"/>
      </right>
      <top/>
      <bottom/>
      <diagonal/>
    </border>
    <border>
      <left/>
      <right style="medium">
        <color rgb="FF784D1E"/>
      </right>
      <top style="medium">
        <color rgb="FF784D1E"/>
      </top>
      <bottom/>
      <diagonal/>
    </border>
    <border>
      <left style="medium">
        <color rgb="FF784D1E"/>
      </left>
      <right/>
      <top style="medium">
        <color rgb="FF784D1E"/>
      </top>
      <bottom/>
      <diagonal/>
    </border>
    <border>
      <left style="medium">
        <color rgb="FF784D1E"/>
      </left>
      <right/>
      <top/>
      <bottom/>
      <diagonal/>
    </border>
    <border>
      <left style="medium">
        <color rgb="FF784D1E"/>
      </left>
      <right/>
      <top/>
      <bottom style="medium">
        <color rgb="FF784D1E"/>
      </bottom>
      <diagonal/>
    </border>
    <border>
      <left/>
      <right style="medium">
        <color rgb="FF784D1E"/>
      </right>
      <top/>
      <bottom style="medium">
        <color rgb="FF784D1E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784D1E"/>
      </top>
      <bottom style="medium">
        <color rgb="FFFF0000"/>
      </bottom>
      <diagonal/>
    </border>
    <border>
      <left style="medium">
        <color rgb="FF784D1E"/>
      </left>
      <right style="medium">
        <color rgb="FF784D1E"/>
      </right>
      <top style="medium">
        <color rgb="FF784D1E"/>
      </top>
      <bottom style="medium">
        <color rgb="FF784D1E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7" xfId="0" applyNumberForma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2"/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4" borderId="0" xfId="0" applyFont="1" applyFill="1"/>
    <xf numFmtId="0" fontId="10" fillId="3" borderId="0" xfId="0" applyFont="1" applyFill="1"/>
    <xf numFmtId="2" fontId="0" fillId="0" borderId="7" xfId="0" applyNumberFormat="1" applyBorder="1" applyAlignment="1">
      <alignment horizontal="center" vertical="center"/>
    </xf>
    <xf numFmtId="1" fontId="0" fillId="0" borderId="0" xfId="0" applyNumberFormat="1"/>
    <xf numFmtId="0" fontId="12" fillId="6" borderId="1" xfId="0" applyFont="1" applyFill="1" applyBorder="1" applyAlignment="1">
      <alignment horizontal="center" vertical="center" wrapText="1"/>
    </xf>
    <xf numFmtId="0" fontId="0" fillId="9" borderId="15" xfId="0" applyFill="1" applyBorder="1"/>
    <xf numFmtId="0" fontId="0" fillId="9" borderId="0" xfId="0" applyFill="1"/>
    <xf numFmtId="0" fontId="0" fillId="9" borderId="16" xfId="0" applyFill="1" applyBorder="1"/>
    <xf numFmtId="0" fontId="0" fillId="9" borderId="0" xfId="0" applyFill="1" applyAlignment="1">
      <alignment horizontal="right"/>
    </xf>
    <xf numFmtId="0" fontId="0" fillId="9" borderId="17" xfId="0" applyFill="1" applyBorder="1"/>
    <xf numFmtId="0" fontId="0" fillId="9" borderId="18" xfId="0" applyFill="1" applyBorder="1"/>
    <xf numFmtId="0" fontId="0" fillId="9" borderId="19" xfId="0" applyFill="1" applyBorder="1"/>
    <xf numFmtId="0" fontId="0" fillId="0" borderId="22" xfId="0" applyBorder="1"/>
    <xf numFmtId="0" fontId="0" fillId="9" borderId="25" xfId="0" applyFill="1" applyBorder="1"/>
    <xf numFmtId="0" fontId="0" fillId="9" borderId="22" xfId="0" applyFill="1" applyBorder="1"/>
    <xf numFmtId="0" fontId="0" fillId="9" borderId="26" xfId="0" applyFill="1" applyBorder="1"/>
    <xf numFmtId="0" fontId="0" fillId="9" borderId="21" xfId="0" applyFill="1" applyBorder="1"/>
    <xf numFmtId="0" fontId="0" fillId="9" borderId="27" xfId="0" applyFill="1" applyBorder="1"/>
    <xf numFmtId="0" fontId="8" fillId="0" borderId="0" xfId="2" applyAlignment="1">
      <alignment horizontal="left"/>
    </xf>
    <xf numFmtId="0" fontId="0" fillId="9" borderId="30" xfId="0" applyFill="1" applyBorder="1"/>
    <xf numFmtId="0" fontId="0" fillId="9" borderId="32" xfId="0" applyFill="1" applyBorder="1"/>
    <xf numFmtId="49" fontId="0" fillId="0" borderId="6" xfId="0" applyNumberFormat="1" applyBorder="1" applyAlignment="1">
      <alignment horizontal="left" vertical="center"/>
    </xf>
    <xf numFmtId="0" fontId="6" fillId="0" borderId="0" xfId="0" applyFont="1"/>
    <xf numFmtId="0" fontId="0" fillId="0" borderId="0" xfId="0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33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5" borderId="0" xfId="0" applyFont="1" applyFill="1"/>
    <xf numFmtId="49" fontId="0" fillId="0" borderId="0" xfId="0" applyNumberFormat="1" applyAlignment="1">
      <alignment horizontal="left" vertical="center"/>
    </xf>
    <xf numFmtId="49" fontId="0" fillId="0" borderId="4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14" fillId="0" borderId="0" xfId="0" quotePrefix="1" applyFont="1"/>
    <xf numFmtId="164" fontId="0" fillId="0" borderId="11" xfId="0" applyNumberFormat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2" fillId="6" borderId="4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3" xfId="0" applyBorder="1" applyAlignment="1">
      <alignment horizontal="center"/>
    </xf>
    <xf numFmtId="0" fontId="12" fillId="15" borderId="7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16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0" fillId="17" borderId="35" xfId="0" applyFill="1" applyBorder="1" applyAlignment="1">
      <alignment horizontal="center"/>
    </xf>
    <xf numFmtId="0" fontId="0" fillId="17" borderId="43" xfId="0" applyFill="1" applyBorder="1" applyAlignment="1">
      <alignment horizontal="center"/>
    </xf>
    <xf numFmtId="0" fontId="6" fillId="18" borderId="1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2" fontId="1" fillId="14" borderId="0" xfId="0" quotePrefix="1" applyNumberFormat="1" applyFont="1" applyFill="1"/>
    <xf numFmtId="0" fontId="1" fillId="14" borderId="0" xfId="0" applyFont="1" applyFill="1"/>
    <xf numFmtId="0" fontId="18" fillId="19" borderId="39" xfId="0" applyFont="1" applyFill="1" applyBorder="1" applyAlignment="1">
      <alignment horizontal="right" vertical="center" wrapText="1"/>
    </xf>
    <xf numFmtId="0" fontId="9" fillId="19" borderId="38" xfId="0" applyFont="1" applyFill="1" applyBorder="1" applyAlignment="1">
      <alignment horizontal="center" vertical="center"/>
    </xf>
    <xf numFmtId="0" fontId="10" fillId="19" borderId="5" xfId="0" applyFont="1" applyFill="1" applyBorder="1" applyAlignment="1">
      <alignment vertical="center"/>
    </xf>
    <xf numFmtId="0" fontId="9" fillId="19" borderId="40" xfId="0" applyFont="1" applyFill="1" applyBorder="1" applyAlignment="1">
      <alignment horizontal="center" vertical="center"/>
    </xf>
    <xf numFmtId="0" fontId="13" fillId="19" borderId="5" xfId="0" applyFont="1" applyFill="1" applyBorder="1"/>
    <xf numFmtId="0" fontId="1" fillId="14" borderId="49" xfId="0" applyFont="1" applyFill="1" applyBorder="1" applyAlignment="1">
      <alignment horizontal="right"/>
    </xf>
    <xf numFmtId="0" fontId="16" fillId="5" borderId="0" xfId="0" applyFont="1" applyFill="1"/>
    <xf numFmtId="0" fontId="19" fillId="22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1" fillId="2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1" fillId="21" borderId="50" xfId="0" applyFont="1" applyFill="1" applyBorder="1" applyAlignment="1">
      <alignment horizontal="center" vertical="center" wrapText="1"/>
    </xf>
    <xf numFmtId="0" fontId="13" fillId="23" borderId="46" xfId="0" applyFont="1" applyFill="1" applyBorder="1" applyAlignment="1">
      <alignment horizontal="center" vertical="center" wrapText="1"/>
    </xf>
    <xf numFmtId="1" fontId="9" fillId="0" borderId="44" xfId="0" applyNumberFormat="1" applyFont="1" applyBorder="1" applyAlignment="1">
      <alignment horizontal="center"/>
    </xf>
    <xf numFmtId="0" fontId="0" fillId="0" borderId="1" xfId="0" applyBorder="1"/>
    <xf numFmtId="0" fontId="0" fillId="20" borderId="1" xfId="0" applyFill="1" applyBorder="1" applyAlignment="1">
      <alignment horizontal="center" vertical="center" wrapText="1"/>
    </xf>
    <xf numFmtId="1" fontId="6" fillId="8" borderId="11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25" borderId="1" xfId="0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/>
    </xf>
    <xf numFmtId="0" fontId="18" fillId="7" borderId="2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3" fillId="24" borderId="5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3" fillId="24" borderId="1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13" fillId="27" borderId="7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quotePrefix="1" applyNumberFormat="1" applyFont="1"/>
    <xf numFmtId="0" fontId="18" fillId="0" borderId="0" xfId="0" applyFont="1" applyAlignment="1">
      <alignment horizontal="right" vertical="center" wrapText="1"/>
    </xf>
    <xf numFmtId="0" fontId="13" fillId="0" borderId="0" xfId="0" applyFont="1"/>
    <xf numFmtId="0" fontId="1" fillId="9" borderId="0" xfId="0" applyFont="1" applyFill="1"/>
    <xf numFmtId="0" fontId="0" fillId="0" borderId="49" xfId="0" applyBorder="1"/>
    <xf numFmtId="0" fontId="0" fillId="9" borderId="31" xfId="0" applyFill="1" applyBorder="1"/>
    <xf numFmtId="0" fontId="4" fillId="0" borderId="0" xfId="0" applyFont="1" applyAlignment="1">
      <alignment horizontal="center"/>
    </xf>
    <xf numFmtId="0" fontId="0" fillId="9" borderId="51" xfId="0" applyFill="1" applyBorder="1" applyAlignment="1">
      <alignment horizontal="right"/>
    </xf>
    <xf numFmtId="0" fontId="0" fillId="9" borderId="49" xfId="0" applyFill="1" applyBorder="1"/>
    <xf numFmtId="0" fontId="9" fillId="9" borderId="44" xfId="0" applyFont="1" applyFill="1" applyBorder="1"/>
    <xf numFmtId="0" fontId="9" fillId="9" borderId="48" xfId="0" applyFont="1" applyFill="1" applyBorder="1"/>
    <xf numFmtId="0" fontId="9" fillId="9" borderId="45" xfId="0" applyFont="1" applyFill="1" applyBorder="1"/>
    <xf numFmtId="0" fontId="9" fillId="9" borderId="39" xfId="0" applyFont="1" applyFill="1" applyBorder="1"/>
    <xf numFmtId="0" fontId="1" fillId="9" borderId="56" xfId="0" applyFont="1" applyFill="1" applyBorder="1"/>
    <xf numFmtId="0" fontId="0" fillId="9" borderId="22" xfId="0" applyFill="1" applyBorder="1" applyAlignment="1">
      <alignment horizontal="right"/>
    </xf>
    <xf numFmtId="0" fontId="1" fillId="9" borderId="57" xfId="0" applyFont="1" applyFill="1" applyBorder="1"/>
    <xf numFmtId="0" fontId="0" fillId="9" borderId="38" xfId="0" applyFill="1" applyBorder="1"/>
    <xf numFmtId="0" fontId="14" fillId="0" borderId="0" xfId="0" applyFont="1" applyAlignment="1">
      <alignment wrapText="1"/>
    </xf>
    <xf numFmtId="0" fontId="0" fillId="0" borderId="20" xfId="0" applyBorder="1" applyAlignment="1">
      <alignment horizontal="right"/>
    </xf>
    <xf numFmtId="0" fontId="0" fillId="0" borderId="20" xfId="0" applyBorder="1"/>
    <xf numFmtId="0" fontId="1" fillId="9" borderId="0" xfId="0" applyFont="1" applyFill="1" applyAlignment="1">
      <alignment horizontal="right" vertical="top"/>
    </xf>
    <xf numFmtId="0" fontId="4" fillId="9" borderId="0" xfId="0" applyFont="1" applyFill="1" applyAlignment="1">
      <alignment vertical="top"/>
    </xf>
    <xf numFmtId="0" fontId="4" fillId="9" borderId="0" xfId="0" applyFont="1" applyFill="1"/>
    <xf numFmtId="0" fontId="4" fillId="9" borderId="16" xfId="0" applyFont="1" applyFill="1" applyBorder="1" applyAlignment="1">
      <alignment vertical="center"/>
    </xf>
    <xf numFmtId="2" fontId="17" fillId="0" borderId="0" xfId="0" applyNumberFormat="1" applyFont="1"/>
    <xf numFmtId="0" fontId="14" fillId="9" borderId="0" xfId="0" applyFont="1" applyFill="1"/>
    <xf numFmtId="0" fontId="15" fillId="9" borderId="0" xfId="0" applyFont="1" applyFill="1"/>
    <xf numFmtId="0" fontId="0" fillId="0" borderId="15" xfId="0" applyBorder="1"/>
    <xf numFmtId="0" fontId="1" fillId="9" borderId="0" xfId="0" applyFont="1" applyFill="1" applyAlignment="1">
      <alignment horizontal="right"/>
    </xf>
    <xf numFmtId="0" fontId="1" fillId="9" borderId="0" xfId="0" applyFont="1" applyFill="1" applyAlignment="1">
      <alignment vertical="top"/>
    </xf>
    <xf numFmtId="0" fontId="1" fillId="9" borderId="15" xfId="0" applyFont="1" applyFill="1" applyBorder="1"/>
    <xf numFmtId="2" fontId="10" fillId="9" borderId="0" xfId="0" applyNumberFormat="1" applyFont="1" applyFill="1"/>
    <xf numFmtId="0" fontId="0" fillId="0" borderId="18" xfId="0" applyBorder="1"/>
    <xf numFmtId="0" fontId="10" fillId="9" borderId="0" xfId="0" applyFont="1" applyFill="1"/>
    <xf numFmtId="2" fontId="10" fillId="8" borderId="0" xfId="0" applyNumberFormat="1" applyFont="1" applyFill="1"/>
    <xf numFmtId="2" fontId="17" fillId="8" borderId="0" xfId="0" applyNumberFormat="1" applyFont="1" applyFill="1"/>
    <xf numFmtId="0" fontId="12" fillId="9" borderId="0" xfId="0" applyFont="1" applyFill="1"/>
    <xf numFmtId="0" fontId="14" fillId="9" borderId="0" xfId="0" applyFont="1" applyFill="1" applyAlignment="1">
      <alignment vertical="top"/>
    </xf>
    <xf numFmtId="0" fontId="0" fillId="9" borderId="53" xfId="0" applyFill="1" applyBorder="1"/>
    <xf numFmtId="0" fontId="0" fillId="9" borderId="28" xfId="0" applyFill="1" applyBorder="1" applyAlignment="1">
      <alignment horizontal="right"/>
    </xf>
    <xf numFmtId="0" fontId="0" fillId="9" borderId="28" xfId="0" applyFill="1" applyBorder="1"/>
    <xf numFmtId="0" fontId="0" fillId="9" borderId="54" xfId="0" applyFill="1" applyBorder="1"/>
    <xf numFmtId="0" fontId="0" fillId="9" borderId="29" xfId="0" applyFill="1" applyBorder="1"/>
    <xf numFmtId="0" fontId="0" fillId="9" borderId="55" xfId="0" applyFill="1" applyBorder="1"/>
    <xf numFmtId="0" fontId="22" fillId="9" borderId="31" xfId="0" applyFont="1" applyFill="1" applyBorder="1" applyAlignment="1">
      <alignment horizontal="left" vertical="center"/>
    </xf>
    <xf numFmtId="0" fontId="0" fillId="9" borderId="58" xfId="0" applyFill="1" applyBorder="1"/>
    <xf numFmtId="0" fontId="0" fillId="0" borderId="0" xfId="0" applyAlignment="1">
      <alignment vertical="top" wrapText="1"/>
    </xf>
    <xf numFmtId="0" fontId="23" fillId="0" borderId="0" xfId="0" applyFont="1"/>
    <xf numFmtId="0" fontId="24" fillId="9" borderId="0" xfId="0" applyFont="1" applyFill="1"/>
    <xf numFmtId="0" fontId="24" fillId="9" borderId="49" xfId="0" applyFont="1" applyFill="1" applyBorder="1"/>
    <xf numFmtId="0" fontId="14" fillId="0" borderId="0" xfId="0" applyFont="1"/>
    <xf numFmtId="0" fontId="9" fillId="0" borderId="0" xfId="0" applyFont="1" applyAlignment="1">
      <alignment horizontal="center"/>
    </xf>
    <xf numFmtId="0" fontId="25" fillId="9" borderId="0" xfId="0" applyFont="1" applyFill="1"/>
    <xf numFmtId="0" fontId="24" fillId="9" borderId="21" xfId="0" applyFont="1" applyFill="1" applyBorder="1" applyAlignment="1">
      <alignment horizontal="left"/>
    </xf>
    <xf numFmtId="1" fontId="9" fillId="0" borderId="60" xfId="0" applyNumberFormat="1" applyFont="1" applyBorder="1" applyAlignment="1">
      <alignment horizontal="center"/>
    </xf>
    <xf numFmtId="0" fontId="0" fillId="8" borderId="11" xfId="0" applyFill="1" applyBorder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28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" fontId="1" fillId="8" borderId="9" xfId="0" applyNumberFormat="1" applyFont="1" applyFill="1" applyBorder="1" applyAlignment="1">
      <alignment horizontal="center"/>
    </xf>
    <xf numFmtId="1" fontId="1" fillId="8" borderId="59" xfId="0" applyNumberFormat="1" applyFont="1" applyFill="1" applyBorder="1" applyAlignment="1">
      <alignment horizontal="center"/>
    </xf>
    <xf numFmtId="1" fontId="0" fillId="8" borderId="7" xfId="0" applyNumberFormat="1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/>
    </xf>
    <xf numFmtId="0" fontId="29" fillId="0" borderId="0" xfId="2" applyFont="1" applyAlignment="1">
      <alignment vertical="center"/>
    </xf>
    <xf numFmtId="0" fontId="28" fillId="0" borderId="11" xfId="0" applyFont="1" applyBorder="1"/>
    <xf numFmtId="0" fontId="28" fillId="0" borderId="6" xfId="0" applyFont="1" applyBorder="1"/>
    <xf numFmtId="0" fontId="28" fillId="0" borderId="7" xfId="0" applyFont="1" applyBorder="1"/>
    <xf numFmtId="0" fontId="4" fillId="11" borderId="15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16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10" borderId="24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12" fillId="25" borderId="0" xfId="0" applyFont="1" applyFill="1" applyAlignment="1">
      <alignment horizontal="center"/>
    </xf>
    <xf numFmtId="0" fontId="24" fillId="0" borderId="34" xfId="0" applyFont="1" applyBorder="1" applyAlignment="1">
      <alignment horizontal="left" vertical="top" wrapText="1"/>
    </xf>
    <xf numFmtId="0" fontId="24" fillId="0" borderId="33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top" wrapText="1"/>
    </xf>
    <xf numFmtId="0" fontId="24" fillId="0" borderId="36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37" xfId="0" applyFont="1" applyBorder="1" applyAlignment="1">
      <alignment horizontal="left" vertical="top" wrapText="1"/>
    </xf>
    <xf numFmtId="0" fontId="16" fillId="5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1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0" borderId="41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6175C88E-67F0-4A23-86CC-36C18FBC8783}"/>
  </cellStyles>
  <dxfs count="118"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numFmt numFmtId="165" formatCode="0.0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rgb="FFFF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FF0000"/>
        </left>
        <right style="medium">
          <color rgb="FFFF0000"/>
        </right>
        <top style="thin">
          <color indexed="64"/>
        </top>
        <bottom style="thin">
          <color indexed="64"/>
        </bottom>
        <vertic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solid">
          <fgColor rgb="FFFFE699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FF0000"/>
        </left>
        <right style="medium">
          <color rgb="FFFF0000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9" tint="0.79998168889431442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36929"/>
      <color rgb="FFC57F31"/>
      <color rgb="FFEF7F03"/>
      <color rgb="FFFC8808"/>
      <color rgb="FFF87D02"/>
      <color rgb="FF6DA945"/>
      <color rgb="FF784D1E"/>
      <color rgb="FFD59A59"/>
      <color rgb="FFFDEFE7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14</xdr:row>
      <xdr:rowOff>36195</xdr:rowOff>
    </xdr:from>
    <xdr:to>
      <xdr:col>10</xdr:col>
      <xdr:colOff>36084</xdr:colOff>
      <xdr:row>43</xdr:row>
      <xdr:rowOff>107903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41FBE0E5-2A7F-36EF-AA07-ED366204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" y="2569845"/>
          <a:ext cx="7517019" cy="531998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43</xdr:row>
      <xdr:rowOff>152400</xdr:rowOff>
    </xdr:from>
    <xdr:to>
      <xdr:col>5</xdr:col>
      <xdr:colOff>246454</xdr:colOff>
      <xdr:row>53</xdr:row>
      <xdr:rowOff>7002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72B5BA78-9FB4-984C-FC8E-B2EE7D0B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7934325"/>
          <a:ext cx="3789754" cy="1664352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0</xdr:row>
      <xdr:rowOff>114300</xdr:rowOff>
    </xdr:from>
    <xdr:to>
      <xdr:col>10</xdr:col>
      <xdr:colOff>21989</xdr:colOff>
      <xdr:row>13</xdr:row>
      <xdr:rowOff>151085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9D78130-5D68-4F9D-145B-199E4FC2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" y="114300"/>
          <a:ext cx="7535309" cy="2414225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99060</xdr:rowOff>
    </xdr:from>
    <xdr:to>
      <xdr:col>16</xdr:col>
      <xdr:colOff>657301</xdr:colOff>
      <xdr:row>4</xdr:row>
      <xdr:rowOff>38158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B2BD444-72AB-C442-3631-A2707589D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10500" y="99060"/>
          <a:ext cx="5267401" cy="670618"/>
        </a:xfrm>
        <a:prstGeom prst="rect">
          <a:avLst/>
        </a:prstGeom>
      </xdr:spPr>
    </xdr:pic>
    <xdr:clientData/>
  </xdr:twoCellAnchor>
  <xdr:twoCellAnchor editAs="oneCell">
    <xdr:from>
      <xdr:col>10</xdr:col>
      <xdr:colOff>220980</xdr:colOff>
      <xdr:row>4</xdr:row>
      <xdr:rowOff>114300</xdr:rowOff>
    </xdr:from>
    <xdr:to>
      <xdr:col>16</xdr:col>
      <xdr:colOff>649681</xdr:colOff>
      <xdr:row>19</xdr:row>
      <xdr:rowOff>59669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A6B75FD-1E65-5A6D-EFEB-11BC1108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02880" y="845820"/>
          <a:ext cx="5267401" cy="2688569"/>
        </a:xfrm>
        <a:prstGeom prst="rect">
          <a:avLst/>
        </a:prstGeom>
      </xdr:spPr>
    </xdr:pic>
    <xdr:clientData/>
  </xdr:twoCellAnchor>
  <xdr:twoCellAnchor editAs="oneCell">
    <xdr:from>
      <xdr:col>10</xdr:col>
      <xdr:colOff>220980</xdr:colOff>
      <xdr:row>19</xdr:row>
      <xdr:rowOff>167640</xdr:rowOff>
    </xdr:from>
    <xdr:to>
      <xdr:col>16</xdr:col>
      <xdr:colOff>607005</xdr:colOff>
      <xdr:row>33</xdr:row>
      <xdr:rowOff>94704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801B1478-5E37-EB11-6A63-A275F7CA2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02880" y="3642360"/>
          <a:ext cx="5224725" cy="2487384"/>
        </a:xfrm>
        <a:prstGeom prst="rect">
          <a:avLst/>
        </a:prstGeom>
      </xdr:spPr>
    </xdr:pic>
    <xdr:clientData/>
  </xdr:twoCellAnchor>
  <xdr:twoCellAnchor editAs="oneCell">
    <xdr:from>
      <xdr:col>10</xdr:col>
      <xdr:colOff>236220</xdr:colOff>
      <xdr:row>34</xdr:row>
      <xdr:rowOff>30480</xdr:rowOff>
    </xdr:from>
    <xdr:to>
      <xdr:col>16</xdr:col>
      <xdr:colOff>616148</xdr:colOff>
      <xdr:row>41</xdr:row>
      <xdr:rowOff>91556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B66ACCF-2E11-CDEE-ADCA-671F18107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18120" y="6248400"/>
          <a:ext cx="5218628" cy="1341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23</xdr:row>
      <xdr:rowOff>29544</xdr:rowOff>
    </xdr:from>
    <xdr:to>
      <xdr:col>9</xdr:col>
      <xdr:colOff>205740</xdr:colOff>
      <xdr:row>39</xdr:row>
      <xdr:rowOff>169544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23F2C9-B2A0-6C30-EB11-1E20D77D46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05" t="4494" r="3028"/>
        <a:stretch/>
      </xdr:blipFill>
      <xdr:spPr>
        <a:xfrm>
          <a:off x="19050" y="4411044"/>
          <a:ext cx="5181600" cy="3208955"/>
        </a:xfrm>
        <a:prstGeom prst="rect">
          <a:avLst/>
        </a:prstGeom>
      </xdr:spPr>
    </xdr:pic>
    <xdr:clientData/>
  </xdr:twoCellAnchor>
  <xdr:twoCellAnchor>
    <xdr:from>
      <xdr:col>17</xdr:col>
      <xdr:colOff>135255</xdr:colOff>
      <xdr:row>14</xdr:row>
      <xdr:rowOff>264796</xdr:rowOff>
    </xdr:from>
    <xdr:to>
      <xdr:col>21</xdr:col>
      <xdr:colOff>600075</xdr:colOff>
      <xdr:row>18</xdr:row>
      <xdr:rowOff>142876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4A397A1-4952-938F-F8E9-CE0EB1E9582C}"/>
            </a:ext>
          </a:extLst>
        </xdr:cNvPr>
        <xdr:cNvSpPr txBox="1"/>
      </xdr:nvSpPr>
      <xdr:spPr>
        <a:xfrm>
          <a:off x="10422255" y="2779396"/>
          <a:ext cx="320802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i="1" kern="1200"/>
            <a:t>Le redressement est calculé pour atteindre le rapport %MO/%Argile = 0,24. </a:t>
          </a:r>
        </a:p>
        <a:p>
          <a:r>
            <a:rPr lang="fr-FR" sz="1100" i="1" kern="1200"/>
            <a:t>Selon la bibliographie, cet équilibre entre la MO et l'argile permet une structure aérée et stable.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0CE3FD0-A66D-40C7-B834-56E0D04D7946}" name="Amendements_calcul1" displayName="Amendements_calcul1" ref="A6:P13" headerRowDxfId="117" headerRowBorderDxfId="116">
  <autoFilter ref="A6:P13" xr:uid="{20CE3FD0-A66D-40C7-B834-56E0D04D7946}"/>
  <tableColumns count="16">
    <tableColumn id="1" xr3:uid="{127FDA99-F790-4AF1-8DB2-BDF65A245EF1}" name="Produits" totalsRowLabel="Total" dataDxfId="115"/>
    <tableColumn id="8" xr3:uid="{00B6C509-6B34-4A73-9F21-3DF9F12451ED}" name="Compatible en agriculture biologique" dataDxfId="114">
      <calculatedColumnFormula>VLOOKUP(Amendements_calcul1[[#This Row],[Produits]],amendements_liste[],3,0)</calculatedColumnFormula>
    </tableColumn>
    <tableColumn id="2" xr3:uid="{79FA9B2F-09E2-40F9-850A-1827018E715F}" name="Tx MO en %" dataDxfId="113">
      <calculatedColumnFormula>VLOOKUP(Amendements_calcul1[[#This Row],[Produits]],amendements_liste[], 4,0)</calculatedColumnFormula>
    </tableColumn>
    <tableColumn id="3" xr3:uid="{1D5D94D9-2BE2-4338-A012-4CD7A2951B3F}" name="ISMO" dataDxfId="112">
      <calculatedColumnFormula>VLOOKUP(Amendements_calcul1[[#This Row],[Produits]],amendements_liste[],5,0)</calculatedColumnFormula>
    </tableColumn>
    <tableColumn id="4" xr3:uid="{47E41992-E9EA-4003-AF65-E81065C76D78}" name="Dose amendement (kg/ha)" totalsRowFunction="sum" dataDxfId="111">
      <calculatedColumnFormula>$B$1*(100/Amendements_calcul1[[#This Row],[Tx MO en %]]*Amendements_calcul1[[#This Row],[ISMO]])</calculatedColumnFormula>
    </tableColumn>
    <tableColumn id="5" xr3:uid="{9C5F25D3-4378-4257-9A0A-3A5CBE5C04A0}" name="Quantité à apporter à la parcelle (en kg)" totalsRowFunction="sum" dataDxfId="110">
      <calculatedColumnFormula>(Amendements_calcul1[[#This Row],[Dose amendement (kg/ha)]]*100)*($F$1/10000)</calculatedColumnFormula>
    </tableColumn>
    <tableColumn id="18" xr3:uid="{BAB3C8BD-1A91-45E1-8084-0FF960292BD6}" name="Volume de produit correspondant (m3)" dataDxfId="109">
      <calculatedColumnFormula>(Amendements_calcul1[[#This Row],[Quantité à apporter à la parcelle (en kg)]])*(1/VLOOKUP(Amendements_calcul1[[#This Row],[Produits]],amendements_liste[],11,0))</calculatedColumnFormula>
    </tableColumn>
    <tableColumn id="23" xr3:uid="{B836B153-3B34-4107-B578-6481BC75D3AC}" name="Prix/kg *" dataDxfId="108">
      <calculatedColumnFormula>VLOOKUP(Amendements_calcul1[[#This Row],[Produits]],amendements_liste[],12,0)</calculatedColumnFormula>
    </tableColumn>
    <tableColumn id="22" xr3:uid="{556680D9-4136-40B0-9CC6-D10E019CB3F3}" name="Prix/ha *" dataDxfId="107">
      <calculatedColumnFormula>Amendements_calcul1[[#This Row],[Prix/kg *]]*Amendements_calcul1[[#This Row],[Dose amendement (kg/ha)]]</calculatedColumnFormula>
    </tableColumn>
    <tableColumn id="21" xr3:uid="{D4607E6B-229C-4E30-B143-8C47AD7DD86E}" name="Prix/parcelle *" dataDxfId="106">
      <calculatedColumnFormula>Amendements_calcul1[[#This Row],[Quantité à apporter à la parcelle (en kg)]]*Amendements_calcul1[[#This Row],[Prix/kg *]]</calculatedColumnFormula>
    </tableColumn>
    <tableColumn id="6" xr3:uid="{EECA3FFB-E2E4-4C6C-8963-F96DBD9D70B0}" name="Apport N" totalsRowFunction="sum" dataDxfId="105">
      <calculatedColumnFormula>(VLOOKUP(Amendements_calcul1[[#This Row],[Produits]],amendements_liste[],6,0)/100)*Amendements_calcul1[[#This Row],[Dose amendement (kg/ha)]]</calculatedColumnFormula>
    </tableColumn>
    <tableColumn id="7" xr3:uid="{2B5611B1-F6C5-49AD-AB08-660E85A8FF10}" name="Apport P" dataDxfId="104">
      <calculatedColumnFormula>(VLOOKUP(Amendements_calcul1[[#This Row],[Produits]],amendements_liste[],7,0)/100)*Amendements_calcul1[[#This Row],[Dose amendement (kg/ha)]]</calculatedColumnFormula>
    </tableColumn>
    <tableColumn id="9" xr3:uid="{97CBAC00-E385-4B11-9AC5-16CDACDC1BCF}" name="Apport K" dataDxfId="103">
      <calculatedColumnFormula>(VLOOKUP(Amendements_calcul1[[#This Row],[Produits]],amendements_liste[],8,0)/100)*Amendements_calcul1[[#This Row],[Dose amendement (kg/ha)]]</calculatedColumnFormula>
    </tableColumn>
    <tableColumn id="10" xr3:uid="{81D629BE-5B71-4107-9EC2-71B28DD80523}" name="Apport Ca" dataDxfId="102">
      <calculatedColumnFormula>(VLOOKUP(Amendements_calcul1[[#This Row],[Produits]],amendements_liste[],9,0)/100)*Amendements_calcul1[[#This Row],[Dose amendement (kg/ha)]]</calculatedColumnFormula>
    </tableColumn>
    <tableColumn id="11" xr3:uid="{339F408D-09FD-438E-8893-FDA0574F02BB}" name="Apport Mg" dataDxfId="101">
      <calculatedColumnFormula>(VLOOKUP(Amendements_calcul1[[#This Row],[Produits]],amendements_liste[],10,0)/100)*Amendements_calcul1[[#This Row],[Dose amendement (kg/ha)]]</calculatedColumnFormula>
    </tableColumn>
    <tableColumn id="19" xr3:uid="{4FB9255B-C988-49B8-A8D9-2E38BE1CBF27}" name="Matériel d'épandage" dataDxfId="100">
      <calculatedColumnFormula>VLOOKUP(Amendements_calcul1[[#This Row],[Produits]],amendements_liste[],13,0)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E0F7C1-29F4-489C-91BC-E53EA0B06AB3}" name="Amendements_calcul2" displayName="Amendements_calcul2" ref="A18:Q23" totalsRowCount="1" headerRowDxfId="99" dataDxfId="97" headerRowBorderDxfId="98" tableBorderDxfId="96">
  <autoFilter ref="A18:Q22" xr:uid="{BEE0F7C1-29F4-489C-91BC-E53EA0B06AB3}"/>
  <tableColumns count="17">
    <tableColumn id="1" xr3:uid="{D7675E28-D1E1-4371-8D12-059E569C27A7}" name="Produit" totalsRowLabel="Total" dataDxfId="95"/>
    <tableColumn id="2" xr3:uid="{DE53D87B-0C4C-46BC-9B4A-3DDA92280EC4}" name="Compatible en agriculture biologique" dataDxfId="94">
      <calculatedColumnFormula>VLOOKUP(Amendements_calcul2[[#This Row],[Produit]],amendements_liste[],3,0)</calculatedColumnFormula>
    </tableColumn>
    <tableColumn id="3" xr3:uid="{64040871-BCE3-46BE-9CA4-40243B1C123B}" name="Tx MO en %" dataDxfId="93">
      <calculatedColumnFormula>VLOOKUP(Amendements_calcul2[[#This Row],[Produit]],amendements_liste[],4,0)</calculatedColumnFormula>
    </tableColumn>
    <tableColumn id="4" xr3:uid="{E3A52569-423A-402A-BEF2-717F69452E21}" name="ISMO" dataDxfId="92">
      <calculatedColumnFormula>VLOOKUP(Amendements_calcul2[[#This Row],[Produit]],amendements_liste[],5,0)</calculatedColumnFormula>
    </tableColumn>
    <tableColumn id="5" xr3:uid="{EE95E8E6-36EC-43C1-BFFA-12CA214C5205}" name="Dose amendement (kg/ha)" dataDxfId="91" totalsRowDxfId="90"/>
    <tableColumn id="24" xr3:uid="{4AEFAB59-B311-4B41-BF16-43BE85B93048}" name="Apport de MO stable (kg/ha)" totalsRowFunction="sum" dataDxfId="89" totalsRowDxfId="88">
      <calculatedColumnFormula>Amendements_calcul2[[#This Row],[Dose amendement (kg/ha)]]*(Amendements_calcul2[[#This Row],[Tx MO en %]]/100)*(Amendements_calcul2[[#This Row],[ISMO]]/100)</calculatedColumnFormula>
    </tableColumn>
    <tableColumn id="6" xr3:uid="{E7AFA0DC-90C2-4B4B-9219-953077ADC1EA}" name="Quantité à apporter à la parcelle (en kg)" totalsRowFunction="sum" dataDxfId="87" totalsRowDxfId="86">
      <calculatedColumnFormula>Amendements_calcul2[[#This Row],[Dose amendement (kg/ha)]]*($F$1/10000)</calculatedColumnFormula>
    </tableColumn>
    <tableColumn id="8" xr3:uid="{7D5E4827-6345-4441-9E64-6433C268F1D6}" name="Prix/kg *" dataDxfId="85" totalsRowDxfId="84">
      <calculatedColumnFormula>VLOOKUP(Amendements_calcul2[[#This Row],[Produit]],amendements_liste[],12,0)</calculatedColumnFormula>
    </tableColumn>
    <tableColumn id="9" xr3:uid="{F2DC20D3-5EDC-4915-9610-8BC96B2B126D}" name="Prix/ha *" dataDxfId="83" totalsRowDxfId="82">
      <calculatedColumnFormula>Amendements_calcul2[[#This Row],[Prix/kg *]]*Amendements_calcul2[[#This Row],[Dose amendement (kg/ha)]]</calculatedColumnFormula>
    </tableColumn>
    <tableColumn id="10" xr3:uid="{EE0F1331-CD16-433E-B253-637646E49CD4}" name="Prix/parcelle *" totalsRowFunction="sum" dataDxfId="81" totalsRowDxfId="80">
      <calculatedColumnFormula>Amendements_calcul2[[#This Row],[Quantité à apporter à la parcelle (en kg)]]*Amendements_calcul2[[#This Row],[Prix/kg *]]</calculatedColumnFormula>
    </tableColumn>
    <tableColumn id="11" xr3:uid="{838CEFCE-B397-48AB-9293-792F9E3C202B}" name="Apport N" dataDxfId="79">
      <calculatedColumnFormula>(VLOOKUP(Amendements_calcul2[[#This Row],[Produit]],amendements_liste[],6,0)/100)*Amendements_calcul2[[#This Row],[Dose amendement (kg/ha)]]</calculatedColumnFormula>
    </tableColumn>
    <tableColumn id="12" xr3:uid="{30E83195-4391-4C32-ADE6-E77735ECF16E}" name="Apport P" dataDxfId="78">
      <calculatedColumnFormula>(VLOOKUP(Amendements_calcul2[[#This Row],[Produit]],amendements_liste[],7,0)/100)*Amendements_calcul2[[#This Row],[Dose amendement (kg/ha)]]</calculatedColumnFormula>
    </tableColumn>
    <tableColumn id="13" xr3:uid="{B73C9786-097D-424C-A524-8410EE7BC8F0}" name="Apport K" dataDxfId="77">
      <calculatedColumnFormula>(VLOOKUP(Amendements_calcul2[[#This Row],[Produit]],amendements_liste[],8,0)/100)*Amendements_calcul2[[#This Row],[Dose amendement (kg/ha)]]</calculatedColumnFormula>
    </tableColumn>
    <tableColumn id="14" xr3:uid="{B51D55E7-08F0-4C81-BB2C-5E702165EE57}" name="Apport Ca" dataDxfId="76">
      <calculatedColumnFormula>(VLOOKUP(Amendements_calcul2[[#This Row],[Produit]],amendements_liste[],9,0)/100)*Amendements_calcul2[[#This Row],[Dose amendement (kg/ha)]]</calculatedColumnFormula>
    </tableColumn>
    <tableColumn id="15" xr3:uid="{7F113F84-6269-453B-A309-E4425A9D562B}" name="Apport Mg" dataDxfId="75">
      <calculatedColumnFormula>(VLOOKUP(Amendements_calcul2[[#This Row],[Produit]],amendements_liste[],10,0)/100)*Amendements_calcul2[[#This Row],[Dose amendement (kg/ha)]]</calculatedColumnFormula>
    </tableColumn>
    <tableColumn id="22" xr3:uid="{456074A9-F52C-4198-8A20-1E920DCDE0EE}" name="Volume de produit correspondant (m3)" dataDxfId="74">
      <calculatedColumnFormula>(Amendements_calcul2[[#This Row],[Quantité à apporter à la parcelle (en kg)]])*(1/VLOOKUP(Amendements_calcul2[[#This Row],[Produit]],amendements_liste[],11,0))</calculatedColumnFormula>
    </tableColumn>
    <tableColumn id="25" xr3:uid="{B938CE50-B86B-406C-AAAE-FCA265B9CB4B}" name="Matériel d'épandage" totalsRowFunction="sum" dataDxfId="73">
      <calculatedColumnFormula>VLOOKUP(Amendements_calcul2[[#This Row],[Produit]],amendements_liste[],13,0)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80D154-2FEE-4B85-8DCF-3A11962A39D1}" name="Engrais_calcul" displayName="Engrais_calcul" ref="A6:W9" totalsRowCount="1" headerRowDxfId="72" dataDxfId="71" tableBorderDxfId="70">
  <autoFilter ref="A6:W8" xr:uid="{AD80D154-2FEE-4B85-8DCF-3A11962A39D1}"/>
  <tableColumns count="23">
    <tableColumn id="1" xr3:uid="{0DE5B29C-543C-42FA-9630-4253B1C06F6F}" name="Produit" totalsRowLabel="Total" dataDxfId="69" totalsRowDxfId="68"/>
    <tableColumn id="30" xr3:uid="{A679BCF0-8859-4EF3-9354-B20F83F71BFD}" name="Organique/minéral" dataDxfId="67" totalsRowDxfId="66">
      <calculatedColumnFormula>VLOOKUP(Engrais_calcul[[#This Row],[Produit]],engrais_liste[],2,0)</calculatedColumnFormula>
    </tableColumn>
    <tableColumn id="8" xr3:uid="{375085B1-782A-42F0-80E7-BA3C8232E156}" name="Compatible en agriculture biologique" dataDxfId="65" totalsRowDxfId="64">
      <calculatedColumnFormula>VLOOKUP(Engrais_calcul[[#This Row],[Produit]],engrais_liste[],3,0)</calculatedColumnFormula>
    </tableColumn>
    <tableColumn id="2" xr3:uid="{FCA4643F-C755-4CE4-8E6C-B6CCDAEC914C}" name="N" dataDxfId="63" totalsRowDxfId="62">
      <calculatedColumnFormula>VLOOKUP(Engrais_calcul[[#This Row],[Produit]],engrais_liste[],6,0)</calculatedColumnFormula>
    </tableColumn>
    <tableColumn id="3" xr3:uid="{38F2A107-9B24-4C01-85E2-13610C8AD4CD}" name="P" dataDxfId="61" totalsRowDxfId="60">
      <calculatedColumnFormula>VLOOKUP(Engrais_calcul[[#This Row],[Produit]],engrais_liste[],7,0)</calculatedColumnFormula>
    </tableColumn>
    <tableColumn id="4" xr3:uid="{DB7724AC-EB53-475E-8E32-0ADE4F752BC5}" name="K" dataDxfId="59" totalsRowDxfId="58">
      <calculatedColumnFormula>VLOOKUP(Engrais_calcul[[#This Row],[Produit]],engrais_liste[],8,0)</calculatedColumnFormula>
    </tableColumn>
    <tableColumn id="5" xr3:uid="{74CA8006-23E4-4516-BE76-7765C2BBED28}" name="Ca" dataDxfId="57" totalsRowDxfId="56">
      <calculatedColumnFormula>VLOOKUP(Engrais_calcul[[#This Row],[Produit]],engrais_liste[],9,0)</calculatedColumnFormula>
    </tableColumn>
    <tableColumn id="16" xr3:uid="{987920F3-866D-47CE-9C51-F118FE340B24}" name="Mg" dataDxfId="55" totalsRowDxfId="54">
      <calculatedColumnFormula>VLOOKUP(Engrais_calcul[[#This Row],[Produit]],engrais_liste[],10,0)</calculatedColumnFormula>
    </tableColumn>
    <tableColumn id="9" xr3:uid="{2CD453BE-C946-44EB-95A6-B19538DF5AD9}" name="Taux MO (% de MB)" dataDxfId="53" totalsRowDxfId="52">
      <calculatedColumnFormula>VLOOKUP(Engrais_calcul[[#This Row],[Produit]],engrais_liste[],4,0)</calculatedColumnFormula>
    </tableColumn>
    <tableColumn id="6" xr3:uid="{E9741429-4738-44F1-9E57-7A07D1C8F8A2}" name="ISMO (% de MO)" dataDxfId="51" totalsRowDxfId="50">
      <calculatedColumnFormula>VLOOKUP(Engrais_calcul[[#This Row],[Produit]],engrais_liste[],5,0)</calculatedColumnFormula>
    </tableColumn>
    <tableColumn id="10" xr3:uid="{B972716A-5D16-45A9-A11C-17C7073DB864}" name="Dose engrais (kg/ha)" totalsRowFunction="sum" dataDxfId="49" totalsRowDxfId="48"/>
    <tableColumn id="11" xr3:uid="{3EE2BB92-FA08-4493-856D-2F3A54ABF95A}" name="Apport N" totalsRowFunction="sum" dataDxfId="47" totalsRowDxfId="46">
      <calculatedColumnFormula>Engrais_calcul[[#This Row],[Dose engrais (kg/ha)]]*(Engrais_calcul[[#This Row],[N]]/100)</calculatedColumnFormula>
    </tableColumn>
    <tableColumn id="12" xr3:uid="{FE5F956E-DF07-4B86-B16E-CE8AEACAD7EB}" name="Apport P" totalsRowFunction="sum" dataDxfId="45" totalsRowDxfId="44">
      <calculatedColumnFormula>Engrais_calcul[[#This Row],[Dose engrais (kg/ha)]]*(Engrais_calcul[[#This Row],[P]]/100)</calculatedColumnFormula>
    </tableColumn>
    <tableColumn id="13" xr3:uid="{9F0E1A55-9B97-478E-9404-18446A081A32}" name="Apport K" totalsRowFunction="sum" dataDxfId="43" totalsRowDxfId="42">
      <calculatedColumnFormula>Engrais_calcul[[#This Row],[Dose engrais (kg/ha)]]*(Engrais_calcul[[#This Row],[K]]/100)</calculatedColumnFormula>
    </tableColumn>
    <tableColumn id="14" xr3:uid="{F289CBFE-FBC8-4C88-9414-859228CC44DD}" name="Apport Ca" totalsRowFunction="sum" dataDxfId="41" totalsRowDxfId="40">
      <calculatedColumnFormula>Engrais_calcul[[#This Row],[Dose engrais (kg/ha)]]*(Engrais_calcul[[#This Row],[Ca]]/100)</calculatedColumnFormula>
    </tableColumn>
    <tableColumn id="28" xr3:uid="{A7B5F59B-9767-4F14-8324-A4DE0AB866B3}" name="Apport Mg" totalsRowFunction="sum" dataDxfId="39" totalsRowDxfId="38">
      <calculatedColumnFormula>(Engrais_calcul[[#This Row],[Dose engrais (kg/ha)]]*Engrais_calcul[[#This Row],[Mg]]/100)</calculatedColumnFormula>
    </tableColumn>
    <tableColumn id="15" xr3:uid="{ED3BAC96-F727-434E-B3C5-7D191C07126B}" name="Apport MO totale" totalsRowFunction="sum" dataDxfId="37" totalsRowDxfId="36">
      <calculatedColumnFormula>Engrais_calcul[[#This Row],[Dose engrais (kg/ha)]]*(Engrais_calcul[[#This Row],[Taux MO (% de MB)]]/100)</calculatedColumnFormula>
    </tableColumn>
    <tableColumn id="7" xr3:uid="{A4D12706-8E8D-4624-BAFE-7628935753EB}" name="Apport MO stable" totalsRowFunction="sum" dataDxfId="35" totalsRowDxfId="34">
      <calculatedColumnFormula>Engrais_calcul[[#This Row],[Dose engrais (kg/ha)]]*(Engrais_calcul[[#This Row],[Taux MO (% de MB)]]/100)*(Engrais_calcul[[#This Row],[ISMO (% de MO)]]/100)</calculatedColumnFormula>
    </tableColumn>
    <tableColumn id="19" xr3:uid="{BB066E42-DA78-4807-A0B7-9710609217ED}" name="Quantité à apporter à la parcelle (en kg) " totalsRowFunction="sum" dataDxfId="33" totalsRowDxfId="32">
      <calculatedColumnFormula>Engrais_calcul[[#This Row],[Dose engrais (kg/ha)]]*($B$1/10000)</calculatedColumnFormula>
    </tableColumn>
    <tableColumn id="20" xr3:uid="{893FD711-14C7-45DC-83F8-86841B56F4C6}" name="Prix/kg *" dataDxfId="31" totalsRowDxfId="30">
      <calculatedColumnFormula xml:space="preserve"> VLOOKUP(Engrais_calcul[[#This Row],[Produit]],engrais_liste[],12,0)</calculatedColumnFormula>
    </tableColumn>
    <tableColumn id="21" xr3:uid="{096FC401-A644-45A2-8AE5-EA9461D78D9E}" name="Prix/ha *" totalsRowFunction="sum" dataDxfId="29" totalsRowDxfId="28">
      <calculatedColumnFormula>Engrais_calcul[[#This Row],[Prix/kg *]]*Engrais_calcul[[#This Row],[Dose engrais (kg/ha)]]</calculatedColumnFormula>
    </tableColumn>
    <tableColumn id="22" xr3:uid="{B0425AC2-4620-4CF1-A1C4-5521D91D31E4}" name="Prix/parcelle *" totalsRowFunction="sum" dataDxfId="27" totalsRowDxfId="26">
      <calculatedColumnFormula>Engrais_calcul[[#This Row],[Quantité à apporter à la parcelle (en kg) ]]*Engrais_calcul[[#This Row],[Prix/kg *]]</calculatedColumnFormula>
    </tableColumn>
    <tableColumn id="23" xr3:uid="{CE425AEA-6639-41DB-ACBC-A67CFBDA9DB8}" name="Matériel d'épandage" dataDxfId="25" totalsRowDxfId="24">
      <calculatedColumnFormula>VLOOKUP(Engrais_calcul[[#This Row],[Produit]],engrais_liste[],13,0)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1D28E4-1624-4B69-9113-D58A200BEA86}" name="engrais_liste" displayName="engrais_liste" ref="A7:M48" totalsRowShown="0" headerRowDxfId="23">
  <autoFilter ref="A7:M48" xr:uid="{FB1D28E4-1624-4B69-9113-D58A200BEA86}"/>
  <tableColumns count="13">
    <tableColumn id="1" xr3:uid="{F8EBA0DC-F2A5-4103-8279-2C7BA1E5E3AD}" name="Produits"/>
    <tableColumn id="2" xr3:uid="{43DE3748-B0DB-4A40-9A7E-7621FEB7D0FE}" name="Type" dataDxfId="22"/>
    <tableColumn id="7" xr3:uid="{915E011F-55B0-40DC-A0DB-5DDF5A19A0F0}" name="Compatible en agriculture biologique" dataDxfId="21"/>
    <tableColumn id="8" xr3:uid="{CEAD8148-BB4A-4180-9779-A3A58B33D9D7}" name="Taux MO (en % MB)" dataDxfId="20"/>
    <tableColumn id="9" xr3:uid="{74655E9B-9251-4B0F-8C16-1BAFDE8F0726}" name="ISMO (en % MO)" dataDxfId="19"/>
    <tableColumn id="10" xr3:uid="{A37D68CE-514B-481A-A208-10C62933A534}" name="N" dataDxfId="18"/>
    <tableColumn id="11" xr3:uid="{136D0C21-FAF8-4E24-9238-519204A45E9B}" name="P" dataDxfId="17"/>
    <tableColumn id="12" xr3:uid="{D026C7C7-2518-4004-852B-C74B82895917}" name="K" dataDxfId="16"/>
    <tableColumn id="13" xr3:uid="{08CE5743-D643-418C-996D-74B4B47FB0A4}" name="Ca" dataDxfId="15"/>
    <tableColumn id="14" xr3:uid="{FFCE5822-105C-4455-A701-409429760881}" name="Mg" dataDxfId="14"/>
    <tableColumn id="26" xr3:uid="{13C370AD-2078-4983-AB33-60332ADEC7F6}" name="Masse volumique compactée (en g/L)" dataDxfId="13"/>
    <tableColumn id="27" xr3:uid="{682BEA9E-DA01-4968-B45B-A0CC73EDC454}" name="Prix au kg ou L*" dataDxfId="12"/>
    <tableColumn id="28" xr3:uid="{8B9F905E-9A6A-4949-BFBD-E19DA58C28A8}" name="Matériel d'épandage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520DF04-307E-4758-B6C9-03E45D9A78EB}" name="amendements_liste" displayName="amendements_liste" ref="A54:M67" totalsRowShown="0" headerRowDxfId="11">
  <autoFilter ref="A54:M67" xr:uid="{C520DF04-307E-4758-B6C9-03E45D9A78EB}"/>
  <tableColumns count="13">
    <tableColumn id="1" xr3:uid="{8FB68703-A959-4516-B32E-B890BE4442E6}" name="Produits"/>
    <tableColumn id="2" xr3:uid="{DB75CD4A-8AB0-42FF-A343-69EBD349A036}" name="Type" dataDxfId="10"/>
    <tableColumn id="7" xr3:uid="{96AA3180-E05B-4216-BA7E-15FCE35A5631}" name="Compatible en agriculture biologique" dataDxfId="9"/>
    <tableColumn id="8" xr3:uid="{97F04127-EA26-44EE-AA6A-0271F4089396}" name="Taux MO (en % MB)" dataDxfId="8"/>
    <tableColumn id="9" xr3:uid="{8785018A-6D2A-470B-BC12-305A1F81C283}" name="ISMO (en % MO)" dataDxfId="7"/>
    <tableColumn id="10" xr3:uid="{D5D2DC1C-EDBF-4227-91B8-9EB7E2FCA6EF}" name="N" dataDxfId="6"/>
    <tableColumn id="11" xr3:uid="{88333B1D-6CE2-48D8-950E-896AC007B215}" name="P" dataDxfId="5"/>
    <tableColumn id="12" xr3:uid="{ED11472E-1B66-4A7A-8EB1-23106F7FD07D}" name="K" dataDxfId="4"/>
    <tableColumn id="13" xr3:uid="{FFEFDE5D-D556-4718-AE5D-FB89B50BCCA9}" name="Ca" dataDxfId="3"/>
    <tableColumn id="14" xr3:uid="{9EACFE8B-05E4-43EF-B9F1-DDFAA2B6B1FA}" name="Mg" dataDxfId="2"/>
    <tableColumn id="26" xr3:uid="{1974AD2B-91F5-4213-900F-FE7709D30210}" name="Masse volumique compactée (en g/L ou kg/m3)" dataDxfId="1"/>
    <tableColumn id="27" xr3:uid="{262900E2-9DF8-47E6-8E99-C32B9383A94D}" name="Prix au kg*" dataDxfId="0"/>
    <tableColumn id="28" xr3:uid="{219900A2-EC6E-4854-8970-8E5EDBF50DB4}" name="Matériel d'épandage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gironde.chambre-agriculture.fr/fileadmin/user_upload/Nouvelle-Aquitaine/100_Inst-Gironde/Documents/pdf_nos_publications/Livret_chambreagricultureA5-compresse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hyperlink" Target="https://www.valorga.nc/les-amendement-et-engrais-organiques-locau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71A2-A2FF-4A1F-9374-8A351547BABC}">
  <dimension ref="F10:S40"/>
  <sheetViews>
    <sheetView tabSelected="1" workbookViewId="0">
      <selection activeCell="M49" sqref="M49"/>
    </sheetView>
  </sheetViews>
  <sheetFormatPr baseColWidth="10" defaultColWidth="11.453125" defaultRowHeight="14.5" x14ac:dyDescent="0.35"/>
  <cols>
    <col min="1" max="1" width="7.54296875" customWidth="1"/>
    <col min="11" max="11" width="13.36328125" bestFit="1" customWidth="1"/>
  </cols>
  <sheetData>
    <row r="10" spans="18:19" x14ac:dyDescent="0.35">
      <c r="S10" s="181"/>
    </row>
    <row r="11" spans="18:19" x14ac:dyDescent="0.35">
      <c r="S11" s="181"/>
    </row>
    <row r="16" spans="18:19" x14ac:dyDescent="0.35">
      <c r="R16" s="182"/>
    </row>
    <row r="25" spans="12:12" x14ac:dyDescent="0.35">
      <c r="L25" s="4"/>
    </row>
    <row r="34" spans="6:11" x14ac:dyDescent="0.35">
      <c r="F34" s="173"/>
      <c r="K34" s="3"/>
    </row>
    <row r="35" spans="6:11" x14ac:dyDescent="0.35">
      <c r="K35" s="4"/>
    </row>
    <row r="36" spans="6:11" x14ac:dyDescent="0.35">
      <c r="K36" s="4"/>
    </row>
    <row r="37" spans="6:11" x14ac:dyDescent="0.35">
      <c r="K37" s="4"/>
    </row>
    <row r="38" spans="6:11" x14ac:dyDescent="0.35">
      <c r="K38" s="4"/>
    </row>
    <row r="39" spans="6:11" x14ac:dyDescent="0.35">
      <c r="K39" s="4"/>
    </row>
    <row r="40" spans="6:11" x14ac:dyDescent="0.35">
      <c r="K4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F37-8B3C-4D5C-86D6-C73EA96F20B9}">
  <dimension ref="A1:T44"/>
  <sheetViews>
    <sheetView topLeftCell="A23" workbookViewId="0">
      <selection activeCell="C42" sqref="C42"/>
    </sheetView>
  </sheetViews>
  <sheetFormatPr baseColWidth="10" defaultColWidth="11.453125" defaultRowHeight="14.5" x14ac:dyDescent="0.35"/>
  <cols>
    <col min="1" max="1" width="2.453125" customWidth="1"/>
    <col min="2" max="2" width="2.54296875" customWidth="1"/>
    <col min="3" max="3" width="29.08984375" customWidth="1"/>
    <col min="4" max="4" width="9.08984375" customWidth="1"/>
    <col min="5" max="5" width="3.36328125" customWidth="1"/>
    <col min="6" max="6" width="12.90625" customWidth="1"/>
    <col min="7" max="8" width="4.36328125" customWidth="1"/>
    <col min="9" max="10" width="6.90625" customWidth="1"/>
    <col min="11" max="11" width="7.36328125" customWidth="1"/>
    <col min="12" max="12" width="16.90625" customWidth="1"/>
    <col min="13" max="13" width="9.36328125" customWidth="1"/>
    <col min="14" max="14" width="17.90625" customWidth="1"/>
    <col min="15" max="15" width="4.6328125" customWidth="1"/>
    <col min="16" max="16" width="7.08984375" customWidth="1"/>
    <col min="17" max="17" width="4.54296875" customWidth="1"/>
    <col min="18" max="18" width="11.453125" customWidth="1"/>
    <col min="19" max="19" width="11.6328125" customWidth="1"/>
    <col min="20" max="20" width="5.54296875" customWidth="1"/>
  </cols>
  <sheetData>
    <row r="1" spans="1:20" ht="11.25" customHeight="1" thickBot="1" x14ac:dyDescent="0.4"/>
    <row r="2" spans="1:20" ht="15.5" x14ac:dyDescent="0.35">
      <c r="A2" s="29"/>
      <c r="B2" s="208" t="s">
        <v>69</v>
      </c>
      <c r="C2" s="209"/>
      <c r="D2" s="209"/>
      <c r="E2" s="209"/>
      <c r="F2" s="209"/>
      <c r="G2" s="210"/>
      <c r="H2" s="128"/>
      <c r="I2" s="128"/>
      <c r="K2" s="205" t="s">
        <v>70</v>
      </c>
      <c r="L2" s="206"/>
      <c r="M2" s="206"/>
      <c r="N2" s="206"/>
      <c r="O2" s="206"/>
      <c r="P2" s="206"/>
      <c r="Q2" s="207"/>
      <c r="R2" s="56"/>
      <c r="S2" s="56"/>
      <c r="T2" s="56"/>
    </row>
    <row r="3" spans="1:20" ht="13.5" customHeight="1" thickBot="1" x14ac:dyDescent="0.4">
      <c r="A3" s="29"/>
      <c r="B3" s="30"/>
      <c r="C3" s="23"/>
      <c r="D3" s="23"/>
      <c r="E3" s="23"/>
      <c r="F3" s="23"/>
      <c r="G3" s="31"/>
      <c r="K3" s="22"/>
      <c r="L3" s="23"/>
      <c r="M3" s="23"/>
      <c r="N3" s="23"/>
      <c r="O3" s="23"/>
      <c r="P3" s="23"/>
      <c r="Q3" s="24"/>
    </row>
    <row r="4" spans="1:20" ht="16" thickBot="1" x14ac:dyDescent="0.4">
      <c r="A4" s="29"/>
      <c r="B4" s="30"/>
      <c r="C4" s="129" t="s">
        <v>71</v>
      </c>
      <c r="D4" s="131">
        <v>10000</v>
      </c>
      <c r="E4" s="130" t="s">
        <v>6</v>
      </c>
      <c r="F4" s="23"/>
      <c r="G4" s="31"/>
      <c r="K4" s="201" t="s">
        <v>97</v>
      </c>
      <c r="L4" s="202"/>
      <c r="M4" s="202"/>
      <c r="N4" s="202"/>
      <c r="O4" s="202"/>
      <c r="P4" s="202"/>
      <c r="Q4" s="203"/>
    </row>
    <row r="5" spans="1:20" ht="15" thickBot="1" x14ac:dyDescent="0.4">
      <c r="A5" s="29"/>
      <c r="B5" s="30"/>
      <c r="C5" s="129" t="s">
        <v>105</v>
      </c>
      <c r="D5" s="131">
        <v>0.2</v>
      </c>
      <c r="E5" s="130" t="s">
        <v>72</v>
      </c>
      <c r="F5" s="174"/>
      <c r="G5" s="31"/>
      <c r="K5" s="22"/>
      <c r="L5" s="147" t="s">
        <v>73</v>
      </c>
      <c r="M5" s="23"/>
      <c r="N5" s="23"/>
      <c r="O5" s="23"/>
      <c r="P5" s="23"/>
      <c r="Q5" s="24"/>
    </row>
    <row r="6" spans="1:20" ht="16" thickBot="1" x14ac:dyDescent="0.4">
      <c r="A6" s="29"/>
      <c r="B6" s="30"/>
      <c r="C6" s="129" t="s">
        <v>74</v>
      </c>
      <c r="D6" s="132">
        <v>1</v>
      </c>
      <c r="E6" s="171" t="s">
        <v>84</v>
      </c>
      <c r="F6" s="23"/>
      <c r="G6" s="31"/>
      <c r="K6" s="22"/>
      <c r="L6" s="155">
        <f>Masse_terre_fine*Tx_MO/100</f>
        <v>60</v>
      </c>
      <c r="M6" s="125" t="s">
        <v>75</v>
      </c>
      <c r="N6" s="23"/>
      <c r="O6" s="23"/>
      <c r="P6" s="23"/>
      <c r="Q6" s="24"/>
    </row>
    <row r="7" spans="1:20" ht="7.5" customHeight="1" thickBot="1" x14ac:dyDescent="0.4">
      <c r="A7" s="29"/>
      <c r="B7" s="30"/>
      <c r="C7" s="25"/>
      <c r="D7" s="125"/>
      <c r="E7" s="23"/>
      <c r="F7" s="23"/>
      <c r="G7" s="31"/>
      <c r="K7" s="22"/>
      <c r="L7" s="148"/>
      <c r="M7" s="125"/>
      <c r="N7" s="23"/>
      <c r="O7" s="23"/>
      <c r="P7" s="23"/>
      <c r="Q7" s="24"/>
    </row>
    <row r="8" spans="1:20" ht="15" thickBot="1" x14ac:dyDescent="0.4">
      <c r="A8" s="29"/>
      <c r="B8" s="30"/>
      <c r="C8" s="25" t="s">
        <v>76</v>
      </c>
      <c r="D8" s="137">
        <f>Surface*D5*D6</f>
        <v>2000</v>
      </c>
      <c r="E8" s="23" t="s">
        <v>77</v>
      </c>
      <c r="F8" s="23"/>
      <c r="G8" s="31"/>
      <c r="K8" s="22"/>
      <c r="L8" s="23"/>
      <c r="M8" s="23"/>
      <c r="N8" s="23"/>
      <c r="O8" s="23"/>
      <c r="P8" s="23"/>
      <c r="Q8" s="24"/>
    </row>
    <row r="9" spans="1:20" ht="16" thickBot="1" x14ac:dyDescent="0.4">
      <c r="A9" s="29"/>
      <c r="B9" s="30"/>
      <c r="C9" s="136" t="s">
        <v>78</v>
      </c>
      <c r="D9" s="137">
        <f>Volume_terre*D6</f>
        <v>2000</v>
      </c>
      <c r="E9" s="23" t="s">
        <v>79</v>
      </c>
      <c r="F9" s="23"/>
      <c r="G9" s="31"/>
      <c r="K9" s="201" t="s">
        <v>103</v>
      </c>
      <c r="L9" s="202"/>
      <c r="M9" s="202"/>
      <c r="N9" s="202"/>
      <c r="O9" s="202"/>
      <c r="P9" s="202"/>
      <c r="Q9" s="203"/>
    </row>
    <row r="10" spans="1:20" ht="6.75" customHeight="1" thickBot="1" x14ac:dyDescent="0.4">
      <c r="A10" s="29"/>
      <c r="B10" s="30"/>
      <c r="C10" s="25"/>
      <c r="D10" s="135"/>
      <c r="E10" s="23"/>
      <c r="F10" s="23"/>
      <c r="G10" s="31"/>
      <c r="K10" s="22"/>
      <c r="L10" s="23"/>
      <c r="M10" s="23"/>
      <c r="N10" s="23"/>
      <c r="O10" s="23"/>
      <c r="P10" s="23"/>
      <c r="Q10" s="24"/>
    </row>
    <row r="11" spans="1:20" ht="16" thickBot="1" x14ac:dyDescent="0.4">
      <c r="A11" s="29"/>
      <c r="B11" s="30"/>
      <c r="C11" s="25" t="s">
        <v>107</v>
      </c>
      <c r="D11" s="133">
        <v>17</v>
      </c>
      <c r="E11" s="23" t="s">
        <v>80</v>
      </c>
      <c r="F11" s="170" t="s">
        <v>108</v>
      </c>
      <c r="G11" s="31"/>
      <c r="K11" s="149"/>
      <c r="L11" s="147" t="s">
        <v>81</v>
      </c>
      <c r="M11" s="144"/>
      <c r="N11" s="23"/>
      <c r="O11" s="23"/>
      <c r="P11" s="23"/>
      <c r="Q11" s="24"/>
    </row>
    <row r="12" spans="1:20" ht="16" thickBot="1" x14ac:dyDescent="0.4">
      <c r="A12" s="29"/>
      <c r="B12" s="30"/>
      <c r="C12" s="129" t="s">
        <v>82</v>
      </c>
      <c r="D12" s="131">
        <v>3</v>
      </c>
      <c r="E12" s="23" t="s">
        <v>80</v>
      </c>
      <c r="F12" s="23"/>
      <c r="G12" s="31"/>
      <c r="K12" s="22"/>
      <c r="L12" s="153">
        <f>L6*D13/100</f>
        <v>0.6</v>
      </c>
      <c r="M12" s="125" t="s">
        <v>32</v>
      </c>
      <c r="N12" s="23"/>
      <c r="O12" s="23"/>
      <c r="P12" s="23"/>
      <c r="Q12" s="24"/>
    </row>
    <row r="13" spans="1:20" ht="16" thickBot="1" x14ac:dyDescent="0.4">
      <c r="A13" s="29"/>
      <c r="B13" s="30"/>
      <c r="C13" s="25" t="s">
        <v>83</v>
      </c>
      <c r="D13" s="134">
        <v>1</v>
      </c>
      <c r="E13" s="130" t="s">
        <v>80</v>
      </c>
      <c r="F13" s="170" t="s">
        <v>84</v>
      </c>
      <c r="G13" s="31"/>
      <c r="K13" s="22"/>
      <c r="L13" s="153">
        <f>L12*1000</f>
        <v>600</v>
      </c>
      <c r="M13" s="125" t="s">
        <v>85</v>
      </c>
      <c r="N13" s="23"/>
      <c r="O13" s="23"/>
      <c r="P13" s="23"/>
      <c r="Q13" s="24"/>
    </row>
    <row r="14" spans="1:20" ht="15" thickBot="1" x14ac:dyDescent="0.4">
      <c r="A14" s="29"/>
      <c r="B14" s="32"/>
      <c r="C14" s="175" t="s">
        <v>106</v>
      </c>
      <c r="D14" s="33"/>
      <c r="E14" s="33"/>
      <c r="F14" s="33"/>
      <c r="G14" s="34"/>
      <c r="K14" s="22"/>
      <c r="L14" s="23"/>
      <c r="M14" s="23"/>
      <c r="N14" s="23"/>
      <c r="O14" s="23"/>
      <c r="P14" s="23"/>
      <c r="Q14" s="24"/>
    </row>
    <row r="15" spans="1:20" ht="29.5" thickBot="1" x14ac:dyDescent="0.4">
      <c r="C15" s="140"/>
      <c r="D15" s="141"/>
      <c r="K15" s="212" t="s">
        <v>98</v>
      </c>
      <c r="L15" s="213"/>
      <c r="M15" s="213"/>
      <c r="N15" s="213"/>
      <c r="O15" s="213"/>
      <c r="P15" s="213"/>
      <c r="Q15" s="214"/>
      <c r="R15" s="139" t="s">
        <v>104</v>
      </c>
    </row>
    <row r="16" spans="1:20" x14ac:dyDescent="0.35">
      <c r="B16" s="160"/>
      <c r="C16" s="161"/>
      <c r="D16" s="162"/>
      <c r="E16" s="162"/>
      <c r="F16" s="162"/>
      <c r="G16" s="163"/>
      <c r="K16" s="22"/>
      <c r="L16" s="23"/>
      <c r="M16" s="23"/>
      <c r="N16" s="23"/>
      <c r="O16" s="23"/>
      <c r="P16" s="23"/>
      <c r="Q16" s="24"/>
      <c r="R16" s="172"/>
    </row>
    <row r="17" spans="2:17" ht="15.75" customHeight="1" thickBot="1" x14ac:dyDescent="0.4">
      <c r="B17" s="164"/>
      <c r="C17" s="211" t="s">
        <v>86</v>
      </c>
      <c r="D17" s="138"/>
      <c r="E17" s="23"/>
      <c r="F17" s="23"/>
      <c r="G17" s="36"/>
      <c r="K17" s="22"/>
      <c r="L17" s="147" t="s">
        <v>87</v>
      </c>
      <c r="M17" s="23"/>
      <c r="N17" s="23"/>
      <c r="O17" s="23"/>
      <c r="P17" s="23"/>
      <c r="Q17" s="24"/>
    </row>
    <row r="18" spans="2:17" ht="15.75" customHeight="1" thickBot="1" x14ac:dyDescent="0.4">
      <c r="B18" s="164"/>
      <c r="C18" s="211"/>
      <c r="D18" s="131">
        <v>0</v>
      </c>
      <c r="E18" s="130" t="s">
        <v>88</v>
      </c>
      <c r="F18" s="23"/>
      <c r="G18" s="36"/>
      <c r="K18" s="149"/>
      <c r="L18" s="150" t="s">
        <v>89</v>
      </c>
      <c r="M18" s="155">
        <f>0.24*Tx_argile</f>
        <v>4.08</v>
      </c>
      <c r="N18" s="125" t="s">
        <v>80</v>
      </c>
      <c r="O18" s="23"/>
      <c r="P18" s="158">
        <f>Masse_terre_fine*((M18-Tx_MO)/100)</f>
        <v>21.6</v>
      </c>
      <c r="Q18" s="145"/>
    </row>
    <row r="19" spans="2:17" ht="24" customHeight="1" thickBot="1" x14ac:dyDescent="0.4">
      <c r="B19" s="165"/>
      <c r="C19" s="166" t="s">
        <v>90</v>
      </c>
      <c r="D19" s="167"/>
      <c r="E19" s="127"/>
      <c r="F19" s="127"/>
      <c r="G19" s="37"/>
      <c r="K19" s="22"/>
      <c r="L19" s="142" t="s">
        <v>91</v>
      </c>
      <c r="M19" s="143">
        <f>IF(M18&lt;Tx_MO,0,P18)</f>
        <v>21.6</v>
      </c>
      <c r="N19" s="151" t="s">
        <v>32</v>
      </c>
      <c r="O19" s="23"/>
      <c r="P19" s="23"/>
      <c r="Q19" s="24"/>
    </row>
    <row r="20" spans="2:17" x14ac:dyDescent="0.35">
      <c r="K20" s="152"/>
      <c r="L20" s="23"/>
      <c r="M20" s="23"/>
      <c r="N20" s="23"/>
      <c r="O20" s="23"/>
      <c r="P20" s="23"/>
      <c r="Q20" s="24"/>
    </row>
    <row r="21" spans="2:17" ht="15.5" x14ac:dyDescent="0.35">
      <c r="K21" s="201" t="s">
        <v>99</v>
      </c>
      <c r="L21" s="202"/>
      <c r="M21" s="202"/>
      <c r="N21" s="202"/>
      <c r="O21" s="202"/>
      <c r="P21" s="202"/>
      <c r="Q21" s="203"/>
    </row>
    <row r="22" spans="2:17" ht="18" customHeight="1" x14ac:dyDescent="0.35">
      <c r="C22" s="204" t="s">
        <v>109</v>
      </c>
      <c r="D22" s="204"/>
      <c r="E22" s="204"/>
      <c r="F22" s="204"/>
      <c r="G22" s="204"/>
      <c r="H22" s="204"/>
      <c r="I22" s="139"/>
      <c r="J22" s="139"/>
      <c r="K22" s="22"/>
      <c r="L22" s="159" t="s">
        <v>92</v>
      </c>
      <c r="M22" s="23"/>
      <c r="N22" s="23"/>
      <c r="O22" s="23"/>
      <c r="P22" s="23"/>
      <c r="Q22" s="24"/>
    </row>
    <row r="23" spans="2:17" ht="15.5" x14ac:dyDescent="0.35">
      <c r="C23" s="204"/>
      <c r="D23" s="204"/>
      <c r="E23" s="204"/>
      <c r="F23" s="204"/>
      <c r="G23" s="204"/>
      <c r="H23" s="204"/>
      <c r="I23" s="7"/>
      <c r="J23" s="7"/>
      <c r="K23" s="149"/>
      <c r="L23" s="144"/>
      <c r="M23" s="156">
        <f>L12-D18+M19</f>
        <v>22.200000000000003</v>
      </c>
      <c r="N23" s="125" t="s">
        <v>93</v>
      </c>
      <c r="O23" s="144"/>
      <c r="P23" s="23"/>
      <c r="Q23" s="24"/>
    </row>
    <row r="24" spans="2:17" ht="15.5" x14ac:dyDescent="0.35">
      <c r="K24" s="22"/>
      <c r="M24" s="157">
        <f>M23*1000</f>
        <v>22200.000000000004</v>
      </c>
      <c r="N24" s="23" t="s">
        <v>94</v>
      </c>
      <c r="O24" s="23"/>
      <c r="P24" s="23"/>
      <c r="Q24" s="24"/>
    </row>
    <row r="25" spans="2:17" ht="15" thickBot="1" x14ac:dyDescent="0.4">
      <c r="K25" s="26"/>
      <c r="L25" s="27"/>
      <c r="M25" s="154"/>
      <c r="N25" s="27"/>
      <c r="O25" s="27"/>
      <c r="P25" s="27"/>
      <c r="Q25" s="28"/>
    </row>
    <row r="27" spans="2:17" x14ac:dyDescent="0.35">
      <c r="L27" s="3"/>
    </row>
    <row r="28" spans="2:17" ht="15.5" x14ac:dyDescent="0.35">
      <c r="L28" s="3"/>
      <c r="M28" s="146"/>
    </row>
    <row r="41" spans="3:15" x14ac:dyDescent="0.35">
      <c r="D41" s="13"/>
      <c r="O41" s="9"/>
    </row>
    <row r="42" spans="3:15" x14ac:dyDescent="0.35">
      <c r="C42" s="35" t="s">
        <v>95</v>
      </c>
    </row>
    <row r="44" spans="3:15" x14ac:dyDescent="0.35">
      <c r="C44" s="13"/>
    </row>
  </sheetData>
  <mergeCells count="8">
    <mergeCell ref="K21:Q21"/>
    <mergeCell ref="C22:H23"/>
    <mergeCell ref="K2:Q2"/>
    <mergeCell ref="B2:G2"/>
    <mergeCell ref="C17:C18"/>
    <mergeCell ref="K4:Q4"/>
    <mergeCell ref="K9:Q9"/>
    <mergeCell ref="K15:Q15"/>
  </mergeCells>
  <hyperlinks>
    <hyperlink ref="C42" r:id="rId1" xr:uid="{0AD2F574-AABC-4027-B189-9DA7A7212C1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DB90-1A03-454E-93A8-BAEC6D26B010}">
  <dimension ref="A1:Q23"/>
  <sheetViews>
    <sheetView workbookViewId="0">
      <selection activeCell="G15" sqref="G15"/>
    </sheetView>
  </sheetViews>
  <sheetFormatPr baseColWidth="10" defaultColWidth="11.453125" defaultRowHeight="14.5" outlineLevelCol="1" x14ac:dyDescent="0.35"/>
  <cols>
    <col min="1" max="1" width="58.453125" bestFit="1" customWidth="1"/>
    <col min="2" max="2" width="23.08984375" customWidth="1"/>
    <col min="3" max="3" width="15.90625" customWidth="1"/>
    <col min="4" max="4" width="10.453125" bestFit="1" customWidth="1"/>
    <col min="5" max="5" width="26.6328125" customWidth="1"/>
    <col min="6" max="6" width="27.08984375" customWidth="1"/>
    <col min="7" max="7" width="25.90625" customWidth="1"/>
    <col min="8" max="8" width="13.36328125" hidden="1" customWidth="1" outlineLevel="1"/>
    <col min="9" max="9" width="11.453125" collapsed="1"/>
    <col min="10" max="10" width="15.90625" bestFit="1" customWidth="1"/>
    <col min="11" max="11" width="15.453125" customWidth="1"/>
    <col min="14" max="14" width="11.90625" customWidth="1"/>
    <col min="15" max="15" width="12.54296875" customWidth="1"/>
    <col min="16" max="16" width="29" bestFit="1" customWidth="1"/>
    <col min="17" max="17" width="27.81640625" bestFit="1" customWidth="1"/>
    <col min="18" max="18" width="19.453125" bestFit="1" customWidth="1"/>
    <col min="19" max="19" width="12.6328125" customWidth="1"/>
    <col min="20" max="20" width="14.36328125" bestFit="1" customWidth="1"/>
    <col min="22" max="22" width="11.08984375" customWidth="1"/>
    <col min="23" max="23" width="20.54296875" customWidth="1"/>
    <col min="24" max="25" width="19.453125" bestFit="1" customWidth="1"/>
  </cols>
  <sheetData>
    <row r="1" spans="1:16" ht="15.75" customHeight="1" thickBot="1" x14ac:dyDescent="0.4">
      <c r="A1" s="93" t="s">
        <v>31</v>
      </c>
      <c r="B1" s="86">
        <f>'BILAN HUMIQUE'!M23</f>
        <v>22.200000000000003</v>
      </c>
      <c r="C1" s="87" t="s">
        <v>32</v>
      </c>
      <c r="E1" s="88" t="s">
        <v>100</v>
      </c>
      <c r="F1" s="91">
        <v>3000</v>
      </c>
      <c r="G1" s="92" t="s">
        <v>6</v>
      </c>
      <c r="H1" s="126"/>
      <c r="I1" s="43"/>
      <c r="J1" s="216" t="s">
        <v>155</v>
      </c>
      <c r="K1" s="217"/>
      <c r="L1" s="217"/>
      <c r="M1" s="217"/>
      <c r="N1" s="218"/>
    </row>
    <row r="2" spans="1:16" ht="24" customHeight="1" x14ac:dyDescent="0.35">
      <c r="A2" s="121"/>
      <c r="B2" s="122"/>
      <c r="C2" s="3"/>
      <c r="E2" s="123"/>
      <c r="F2" s="72"/>
      <c r="G2" s="124"/>
      <c r="I2" s="120"/>
      <c r="J2" s="219"/>
      <c r="K2" s="220"/>
      <c r="L2" s="220"/>
      <c r="M2" s="220"/>
      <c r="N2" s="221"/>
    </row>
    <row r="3" spans="1:16" x14ac:dyDescent="0.35">
      <c r="E3" s="39"/>
      <c r="I3" s="120"/>
      <c r="J3" s="120"/>
      <c r="K3" s="120"/>
      <c r="L3" s="120"/>
      <c r="M3" s="120"/>
    </row>
    <row r="4" spans="1:16" x14ac:dyDescent="0.35">
      <c r="A4" s="222" t="s">
        <v>101</v>
      </c>
      <c r="B4" s="222"/>
      <c r="K4" s="215" t="s">
        <v>33</v>
      </c>
      <c r="L4" s="215"/>
      <c r="M4" s="215"/>
      <c r="N4" s="215"/>
      <c r="O4" s="215"/>
    </row>
    <row r="5" spans="1:16" ht="6" customHeight="1" thickBot="1" x14ac:dyDescent="0.4"/>
    <row r="6" spans="1:16" s="10" customFormat="1" ht="33" customHeight="1" thickBot="1" x14ac:dyDescent="0.4">
      <c r="A6" s="103" t="s">
        <v>34</v>
      </c>
      <c r="B6" s="103" t="s">
        <v>11</v>
      </c>
      <c r="C6" s="103" t="s">
        <v>35</v>
      </c>
      <c r="D6" s="103" t="s">
        <v>0</v>
      </c>
      <c r="E6" s="110" t="s">
        <v>36</v>
      </c>
      <c r="F6" s="111" t="s">
        <v>37</v>
      </c>
      <c r="G6" s="112" t="s">
        <v>38</v>
      </c>
      <c r="H6" s="117" t="s">
        <v>24</v>
      </c>
      <c r="I6" s="74" t="s">
        <v>25</v>
      </c>
      <c r="J6" s="74" t="s">
        <v>26</v>
      </c>
      <c r="K6" s="106" t="s">
        <v>16</v>
      </c>
      <c r="L6" s="106" t="s">
        <v>17</v>
      </c>
      <c r="M6" s="106" t="s">
        <v>18</v>
      </c>
      <c r="N6" s="106" t="s">
        <v>19</v>
      </c>
      <c r="O6" s="106" t="s">
        <v>20</v>
      </c>
      <c r="P6" s="103" t="s">
        <v>27</v>
      </c>
    </row>
    <row r="7" spans="1:16" ht="15" thickBot="1" x14ac:dyDescent="0.4">
      <c r="A7" s="102" t="s">
        <v>153</v>
      </c>
      <c r="B7" s="58" t="str">
        <f>VLOOKUP(Amendements_calcul1[[#This Row],[Produits]],amendements_liste[],3,0)</f>
        <v>oui</v>
      </c>
      <c r="C7" s="58">
        <f>VLOOKUP(Amendements_calcul1[[#This Row],[Produits]],amendements_liste[], 4,0)</f>
        <v>25.7</v>
      </c>
      <c r="D7" s="58">
        <f>VLOOKUP(Amendements_calcul1[[#This Row],[Produits]],amendements_liste[],5,0)</f>
        <v>75</v>
      </c>
      <c r="E7" s="104">
        <f>$B$1*1000*(100/Amendements_calcul1[[#This Row],[Tx MO en %]])*(100/Amendements_calcul1[[#This Row],[ISMO]])</f>
        <v>115175.0972762646</v>
      </c>
      <c r="F7" s="189">
        <f>(Amendements_calcul1[[#This Row],[Dose amendement (kg/ha)]])*($F$1/10000)</f>
        <v>34552.529182879378</v>
      </c>
      <c r="G7" s="192">
        <f>(Amendements_calcul1[[#This Row],[Quantité à apporter à la parcelle (en kg)]])*(1/VLOOKUP(Amendements_calcul1[[#This Row],[Produits]],amendements_liste[],11,0))</f>
        <v>65.814341300722631</v>
      </c>
      <c r="H7" s="58">
        <f>VLOOKUP(Amendements_calcul1[[#This Row],[Produits]],amendements_liste[],12,0)</f>
        <v>20</v>
      </c>
      <c r="I7" s="193">
        <f>Amendements_calcul1[[#This Row],[Prix/kg *]]*Amendements_calcul1[[#This Row],[Dose amendement (kg/ha)]]</f>
        <v>2303501.9455252918</v>
      </c>
      <c r="J7" s="193">
        <f>Amendements_calcul1[[#This Row],[Quantité à apporter à la parcelle (en kg)]]*Amendements_calcul1[[#This Row],[Prix/kg *]]</f>
        <v>691050.58365758753</v>
      </c>
      <c r="K7" s="194">
        <f>(VLOOKUP(Amendements_calcul1[[#This Row],[Produits]],amendements_liste[],6,0)/100)*Amendements_calcul1[[#This Row],[Dose amendement (kg/ha)]]</f>
        <v>1266.9260700389107</v>
      </c>
      <c r="L7" s="194">
        <f>(VLOOKUP(Amendements_calcul1[[#This Row],[Produits]],amendements_liste[],7,0)/100)*Amendements_calcul1[[#This Row],[Dose amendement (kg/ha)]]</f>
        <v>932.91828793774334</v>
      </c>
      <c r="M7" s="194">
        <f>(VLOOKUP(Amendements_calcul1[[#This Row],[Produits]],amendements_liste[],8,0)/100)*Amendements_calcul1[[#This Row],[Dose amendement (kg/ha)]]</f>
        <v>944.43579766536959</v>
      </c>
      <c r="N7" s="195">
        <f>(VLOOKUP(Amendements_calcul1[[#This Row],[Produits]],amendements_liste[],9,0)/100)*Amendements_calcul1[[#This Row],[Dose amendement (kg/ha)]]</f>
        <v>4365.136186770429</v>
      </c>
      <c r="O7" s="194">
        <f>(VLOOKUP(Amendements_calcul1[[#This Row],[Produits]],amendements_liste[],10,0)/100)*Amendements_calcul1[[#This Row],[Dose amendement (kg/ha)]]</f>
        <v>1946.4591439688716</v>
      </c>
      <c r="P7" s="58" t="str">
        <f>VLOOKUP(Amendements_calcul1[[#This Row],[Produits]],amendements_liste[],13,0)</f>
        <v>Epandeur à fumier ou à compost</v>
      </c>
    </row>
    <row r="8" spans="1:16" ht="15" thickBot="1" x14ac:dyDescent="0.4">
      <c r="A8" s="102" t="s">
        <v>141</v>
      </c>
      <c r="B8" s="58" t="str">
        <f>VLOOKUP(Amendements_calcul1[[#This Row],[Produits]],amendements_liste[],3,0)</f>
        <v>non</v>
      </c>
      <c r="C8" s="58">
        <f>VLOOKUP(Amendements_calcul1[[#This Row],[Produits]],amendements_liste[], 4,0)</f>
        <v>63.2</v>
      </c>
      <c r="D8" s="58">
        <f>VLOOKUP(Amendements_calcul1[[#This Row],[Produits]],amendements_liste[],5,0)</f>
        <v>53.5</v>
      </c>
      <c r="E8" s="104">
        <f>$B$1*1000*(100/Amendements_calcul1[[#This Row],[Tx MO en %]])*(100/Amendements_calcul1[[#This Row],[ISMO]])</f>
        <v>65657.163137347685</v>
      </c>
      <c r="F8" s="189">
        <f>(Amendements_calcul1[[#This Row],[Dose amendement (kg/ha)]])*($F$1/10000)</f>
        <v>19697.148941204305</v>
      </c>
      <c r="G8" s="192">
        <f>(Amendements_calcul1[[#This Row],[Quantité à apporter à la parcelle (en kg)]])*(1/VLOOKUP(Amendements_calcul1[[#This Row],[Produits]],amendements_liste[],11,0))</f>
        <v>98.485744706021521</v>
      </c>
      <c r="H8" s="58">
        <f>VLOOKUP(Amendements_calcul1[[#This Row],[Produits]],amendements_liste[],12,0)</f>
        <v>0</v>
      </c>
      <c r="I8" s="193">
        <f>Amendements_calcul1[[#This Row],[Prix/kg *]]*Amendements_calcul1[[#This Row],[Dose amendement (kg/ha)]]</f>
        <v>0</v>
      </c>
      <c r="J8" s="193">
        <f>Amendements_calcul1[[#This Row],[Quantité à apporter à la parcelle (en kg)]]*Amendements_calcul1[[#This Row],[Prix/kg *]]</f>
        <v>0</v>
      </c>
      <c r="K8" s="194">
        <f>(VLOOKUP(Amendements_calcul1[[#This Row],[Produits]],amendements_liste[],6,0)/100)*Amendements_calcul1[[#This Row],[Dose amendement (kg/ha)]]</f>
        <v>1775.3696912338814</v>
      </c>
      <c r="L8" s="194">
        <f>(VLOOKUP(Amendements_calcul1[[#This Row],[Produits]],amendements_liste[],7,0)/100)*Amendements_calcul1[[#This Row],[Dose amendement (kg/ha)]]</f>
        <v>919.85685555424106</v>
      </c>
      <c r="M8" s="194">
        <f>(VLOOKUP(Amendements_calcul1[[#This Row],[Produits]],amendements_liste[],8,0)/100)*Amendements_calcul1[[#This Row],[Dose amendement (kg/ha)]]</f>
        <v>705.55187507393828</v>
      </c>
      <c r="N8" s="195">
        <f>(VLOOKUP(Amendements_calcul1[[#This Row],[Produits]],amendements_liste[],9,0)/100)*Amendements_calcul1[[#This Row],[Dose amendement (kg/ha)]]</f>
        <v>2263.0054418549626</v>
      </c>
      <c r="O8" s="194">
        <f>(VLOOKUP(Amendements_calcul1[[#This Row],[Produits]],amendements_liste[],10,0)/100)*Amendements_calcul1[[#This Row],[Dose amendement (kg/ha)]]</f>
        <v>474.56997515674908</v>
      </c>
      <c r="P8" s="58" t="str">
        <f>VLOOKUP(Amendements_calcul1[[#This Row],[Produits]],amendements_liste[],13,0)</f>
        <v>Epandeur à fumier ou à compost</v>
      </c>
    </row>
    <row r="9" spans="1:16" ht="15" thickBot="1" x14ac:dyDescent="0.4">
      <c r="A9" s="102" t="s">
        <v>142</v>
      </c>
      <c r="B9" s="58" t="str">
        <f>VLOOKUP(Amendements_calcul1[[#This Row],[Produits]],amendements_liste[],3,0)</f>
        <v>non</v>
      </c>
      <c r="C9" s="58">
        <f>VLOOKUP(Amendements_calcul1[[#This Row],[Produits]],amendements_liste[], 4,0)</f>
        <v>39.1</v>
      </c>
      <c r="D9" s="58">
        <f>VLOOKUP(Amendements_calcul1[[#This Row],[Produits]],amendements_liste[],5,0)</f>
        <v>0</v>
      </c>
      <c r="E9" s="104" t="e">
        <f>$B$1*1000*(100/Amendements_calcul1[[#This Row],[Tx MO en %]])*(100/Amendements_calcul1[[#This Row],[ISMO]])</f>
        <v>#DIV/0!</v>
      </c>
      <c r="F9" s="189" t="e">
        <f>(Amendements_calcul1[[#This Row],[Dose amendement (kg/ha)]])*($F$1/10000)</f>
        <v>#DIV/0!</v>
      </c>
      <c r="G9" s="192" t="e">
        <f>(Amendements_calcul1[[#This Row],[Quantité à apporter à la parcelle (en kg)]])*(1/VLOOKUP(Amendements_calcul1[[#This Row],[Produits]],amendements_liste[],11,0))</f>
        <v>#DIV/0!</v>
      </c>
      <c r="H9" s="58">
        <f>VLOOKUP(Amendements_calcul1[[#This Row],[Produits]],amendements_liste[],12,0)</f>
        <v>0</v>
      </c>
      <c r="I9" s="193" t="e">
        <f>Amendements_calcul1[[#This Row],[Prix/kg *]]*Amendements_calcul1[[#This Row],[Dose amendement (kg/ha)]]</f>
        <v>#DIV/0!</v>
      </c>
      <c r="J9" s="193" t="e">
        <f>Amendements_calcul1[[#This Row],[Quantité à apporter à la parcelle (en kg)]]*Amendements_calcul1[[#This Row],[Prix/kg *]]</f>
        <v>#DIV/0!</v>
      </c>
      <c r="K9" s="194" t="e">
        <f>(VLOOKUP(Amendements_calcul1[[#This Row],[Produits]],amendements_liste[],6,0)/100)*Amendements_calcul1[[#This Row],[Dose amendement (kg/ha)]]</f>
        <v>#DIV/0!</v>
      </c>
      <c r="L9" s="194" t="e">
        <f>(VLOOKUP(Amendements_calcul1[[#This Row],[Produits]],amendements_liste[],7,0)/100)*Amendements_calcul1[[#This Row],[Dose amendement (kg/ha)]]</f>
        <v>#DIV/0!</v>
      </c>
      <c r="M9" s="194" t="e">
        <f>(VLOOKUP(Amendements_calcul1[[#This Row],[Produits]],amendements_liste[],8,0)/100)*Amendements_calcul1[[#This Row],[Dose amendement (kg/ha)]]</f>
        <v>#DIV/0!</v>
      </c>
      <c r="N9" s="195" t="e">
        <f>(VLOOKUP(Amendements_calcul1[[#This Row],[Produits]],amendements_liste[],9,0)/100)*Amendements_calcul1[[#This Row],[Dose amendement (kg/ha)]]</f>
        <v>#DIV/0!</v>
      </c>
      <c r="O9" s="194" t="e">
        <f>(VLOOKUP(Amendements_calcul1[[#This Row],[Produits]],amendements_liste[],10,0)/100)*Amendements_calcul1[[#This Row],[Dose amendement (kg/ha)]]</f>
        <v>#DIV/0!</v>
      </c>
      <c r="P9" s="58" t="str">
        <f>VLOOKUP(Amendements_calcul1[[#This Row],[Produits]],amendements_liste[],13,0)</f>
        <v>Epandeur à fumier ou à compost</v>
      </c>
    </row>
    <row r="10" spans="1:16" ht="15" thickBot="1" x14ac:dyDescent="0.4">
      <c r="A10" s="102" t="s">
        <v>40</v>
      </c>
      <c r="B10" s="58" t="str">
        <f>VLOOKUP(Amendements_calcul1[[#This Row],[Produits]],amendements_liste[],3,0)</f>
        <v>non</v>
      </c>
      <c r="C10" s="58">
        <f>VLOOKUP(Amendements_calcul1[[#This Row],[Produits]],amendements_liste[], 4,0)</f>
        <v>30.2</v>
      </c>
      <c r="D10" s="58">
        <f>VLOOKUP(Amendements_calcul1[[#This Row],[Produits]],amendements_liste[],5,0)</f>
        <v>84</v>
      </c>
      <c r="E10" s="104">
        <f>$B$1*1000*(100/Amendements_calcul1[[#This Row],[Tx MO en %]])*(100/Amendements_calcul1[[#This Row],[ISMO]])</f>
        <v>87511.825922421966</v>
      </c>
      <c r="F10" s="189">
        <f>(Amendements_calcul1[[#This Row],[Dose amendement (kg/ha)]])*($F$1/10000)</f>
        <v>26253.547776726587</v>
      </c>
      <c r="G10" s="192">
        <f>(Amendements_calcul1[[#This Row],[Quantité à apporter à la parcelle (en kg)]])*(1/VLOOKUP(Amendements_calcul1[[#This Row],[Produits]],amendements_liste[],11,0))</f>
        <v>43.755912961210981</v>
      </c>
      <c r="H10" s="58">
        <f>VLOOKUP(Amendements_calcul1[[#This Row],[Produits]],amendements_liste[],12,0)</f>
        <v>70</v>
      </c>
      <c r="I10" s="193">
        <f>Amendements_calcul1[[#This Row],[Prix/kg *]]*Amendements_calcul1[[#This Row],[Dose amendement (kg/ha)]]</f>
        <v>6125827.8145695375</v>
      </c>
      <c r="J10" s="193">
        <f>Amendements_calcul1[[#This Row],[Quantité à apporter à la parcelle (en kg)]]*Amendements_calcul1[[#This Row],[Prix/kg *]]</f>
        <v>1837748.3443708611</v>
      </c>
      <c r="K10" s="194">
        <f>(VLOOKUP(Amendements_calcul1[[#This Row],[Produits]],amendements_liste[],6,0)/100)*Amendements_calcul1[[#This Row],[Dose amendement (kg/ha)]]</f>
        <v>1540.2081362346266</v>
      </c>
      <c r="L10" s="194">
        <f>(VLOOKUP(Amendements_calcul1[[#This Row],[Produits]],amendements_liste[],7,0)/100)*Amendements_calcul1[[#This Row],[Dose amendement (kg/ha)]]</f>
        <v>1680.2270577105016</v>
      </c>
      <c r="M10" s="194">
        <f>(VLOOKUP(Amendements_calcul1[[#This Row],[Produits]],amendements_liste[],8,0)/100)*Amendements_calcul1[[#This Row],[Dose amendement (kg/ha)]]</f>
        <v>576.59354304635769</v>
      </c>
      <c r="N10" s="195">
        <f>(VLOOKUP(Amendements_calcul1[[#This Row],[Produits]],amendements_liste[],9,0)/100)*Amendements_calcul1[[#This Row],[Dose amendement (kg/ha)]]</f>
        <v>3484.0645695364246</v>
      </c>
      <c r="O10" s="194">
        <f>(VLOOKUP(Amendements_calcul1[[#This Row],[Produits]],amendements_liste[],10,0)/100)*Amendements_calcul1[[#This Row],[Dose amendement (kg/ha)]]</f>
        <v>1225.1655629139075</v>
      </c>
      <c r="P10" s="58" t="str">
        <f>VLOOKUP(Amendements_calcul1[[#This Row],[Produits]],amendements_liste[],13,0)</f>
        <v>Epandeur à fumier ou à compost</v>
      </c>
    </row>
    <row r="11" spans="1:16" x14ac:dyDescent="0.35">
      <c r="A11" s="102" t="s">
        <v>39</v>
      </c>
      <c r="B11" s="58" t="str">
        <f>VLOOKUP(Amendements_calcul1[[#This Row],[Produits]],amendements_liste[],3,0)</f>
        <v>oui</v>
      </c>
      <c r="C11" s="58">
        <f>VLOOKUP(Amendements_calcul1[[#This Row],[Produits]],amendements_liste[], 4,0)</f>
        <v>61.3</v>
      </c>
      <c r="D11" s="58">
        <f>VLOOKUP(Amendements_calcul1[[#This Row],[Produits]],amendements_liste[],5,0)</f>
        <v>70</v>
      </c>
      <c r="E11" s="104">
        <f>$B$1*1000*(100/Amendements_calcul1[[#This Row],[Tx MO en %]])*(100/Amendements_calcul1[[#This Row],[ISMO]])</f>
        <v>51736.192029829886</v>
      </c>
      <c r="F11" s="190">
        <f>(Amendements_calcul1[[#This Row],[Dose amendement (kg/ha)]])*($F$1/10000)</f>
        <v>15520.857608948965</v>
      </c>
      <c r="G11" s="192">
        <f>(Amendements_calcul1[[#This Row],[Quantité à apporter à la parcelle (en kg)]])*(1/VLOOKUP(Amendements_calcul1[[#This Row],[Produits]],amendements_liste[],11,0))</f>
        <v>81.688724257626134</v>
      </c>
      <c r="H11" s="58">
        <f>VLOOKUP(Amendements_calcul1[[#This Row],[Produits]],amendements_liste[],12,0)</f>
        <v>0</v>
      </c>
      <c r="I11" s="193">
        <f>Amendements_calcul1[[#This Row],[Prix/kg *]]*Amendements_calcul1[[#This Row],[Dose amendement (kg/ha)]]</f>
        <v>0</v>
      </c>
      <c r="J11" s="193">
        <f>Amendements_calcul1[[#This Row],[Quantité à apporter à la parcelle (en kg)]]*Amendements_calcul1[[#This Row],[Prix/kg *]]</f>
        <v>0</v>
      </c>
      <c r="K11" s="194">
        <f>(VLOOKUP(Amendements_calcul1[[#This Row],[Produits]],amendements_liste[],6,0)/100)*Amendements_calcul1[[#This Row],[Dose amendement (kg/ha)]]</f>
        <v>1103.0156140759732</v>
      </c>
      <c r="L11" s="194">
        <f>(VLOOKUP(Amendements_calcul1[[#This Row],[Produits]],amendements_liste[],7,0)/100)*Amendements_calcul1[[#This Row],[Dose amendement (kg/ha)]]</f>
        <v>135.031461197856</v>
      </c>
      <c r="M11" s="194">
        <f>(VLOOKUP(Amendements_calcul1[[#This Row],[Produits]],amendements_liste[],8,0)/100)*Amendements_calcul1[[#This Row],[Dose amendement (kg/ha)]]</f>
        <v>0.51736192029829886</v>
      </c>
      <c r="N11" s="195">
        <f>(VLOOKUP(Amendements_calcul1[[#This Row],[Produits]],amendements_liste[],9,0)/100)*Amendements_calcul1[[#This Row],[Dose amendement (kg/ha)]]</f>
        <v>302.13936145420649</v>
      </c>
      <c r="O11" s="194">
        <f>(VLOOKUP(Amendements_calcul1[[#This Row],[Produits]],amendements_liste[],10,0)/100)*Amendements_calcul1[[#This Row],[Dose amendement (kg/ha)]]</f>
        <v>53.805639711023076</v>
      </c>
      <c r="P11" s="58" t="str">
        <f>VLOOKUP(Amendements_calcul1[[#This Row],[Produits]],amendements_liste[],13,0)</f>
        <v>Epandeur à fumier ou à compost</v>
      </c>
    </row>
    <row r="12" spans="1:16" ht="15" thickBot="1" x14ac:dyDescent="0.4">
      <c r="A12" s="102" t="s">
        <v>143</v>
      </c>
      <c r="B12" s="58" t="str">
        <f>VLOOKUP(Amendements_calcul1[[#This Row],[Produits]],amendements_liste[],3,0)</f>
        <v>non</v>
      </c>
      <c r="C12" s="58">
        <f>VLOOKUP(Amendements_calcul1[[#This Row],[Produits]],amendements_liste[], 4,0)</f>
        <v>79.5</v>
      </c>
      <c r="D12" s="44">
        <f>VLOOKUP(Amendements_calcul1[[#This Row],[Produits]],amendements_liste[],5,0)</f>
        <v>0</v>
      </c>
      <c r="E12" s="104">
        <f>$B$1*(100/Amendements_calcul1[[#This Row],[Tx MO en %]]*Amendements_calcul1[[#This Row],[ISMO]])</f>
        <v>0</v>
      </c>
      <c r="F12" s="191">
        <f>(Amendements_calcul1[[#This Row],[Dose amendement (kg/ha)]]*100)*($F$1/10000)</f>
        <v>0</v>
      </c>
      <c r="G12" s="192" t="e">
        <f>(Amendements_calcul1[[#This Row],[Quantité à apporter à la parcelle (en kg)]])*(1/VLOOKUP(Amendements_calcul1[[#This Row],[Produits]],amendements_liste[],11,0))</f>
        <v>#DIV/0!</v>
      </c>
      <c r="H12" s="58">
        <f>VLOOKUP(Amendements_calcul1[[#This Row],[Produits]],amendements_liste[],12,0)</f>
        <v>0</v>
      </c>
      <c r="I12" s="193">
        <f>Amendements_calcul1[[#This Row],[Prix/kg *]]*Amendements_calcul1[[#This Row],[Dose amendement (kg/ha)]]</f>
        <v>0</v>
      </c>
      <c r="J12" s="193">
        <f>Amendements_calcul1[[#This Row],[Quantité à apporter à la parcelle (en kg)]]*Amendements_calcul1[[#This Row],[Prix/kg *]]</f>
        <v>0</v>
      </c>
      <c r="K12" s="194">
        <f>(VLOOKUP(Amendements_calcul1[[#This Row],[Produits]],amendements_liste[],6,0)/100)*Amendements_calcul1[[#This Row],[Dose amendement (kg/ha)]]</f>
        <v>0</v>
      </c>
      <c r="L12" s="194">
        <f>(VLOOKUP(Amendements_calcul1[[#This Row],[Produits]],amendements_liste[],7,0)/100)*Amendements_calcul1[[#This Row],[Dose amendement (kg/ha)]]</f>
        <v>0</v>
      </c>
      <c r="M12" s="194">
        <f>(VLOOKUP(Amendements_calcul1[[#This Row],[Produits]],amendements_liste[],8,0)/100)*Amendements_calcul1[[#This Row],[Dose amendement (kg/ha)]]</f>
        <v>0</v>
      </c>
      <c r="N12" s="195">
        <f>(VLOOKUP(Amendements_calcul1[[#This Row],[Produits]],amendements_liste[],9,0)/100)*Amendements_calcul1[[#This Row],[Dose amendement (kg/ha)]]</f>
        <v>0</v>
      </c>
      <c r="O12" s="194">
        <f>(VLOOKUP(Amendements_calcul1[[#This Row],[Produits]],amendements_liste[],10,0)/100)*Amendements_calcul1[[#This Row],[Dose amendement (kg/ha)]]</f>
        <v>0</v>
      </c>
      <c r="P12" s="58" t="str">
        <f>VLOOKUP(Amendements_calcul1[[#This Row],[Produits]],amendements_liste[],13,0)</f>
        <v>Epandeur à fumier ou à compost</v>
      </c>
    </row>
    <row r="13" spans="1:16" ht="15" thickBot="1" x14ac:dyDescent="0.4">
      <c r="A13" s="102" t="s">
        <v>152</v>
      </c>
      <c r="B13" s="58" t="str">
        <f>VLOOKUP(Amendements_calcul1[[#This Row],[Produits]],amendements_liste[],3,0)</f>
        <v>non</v>
      </c>
      <c r="C13" s="58">
        <f>VLOOKUP(Amendements_calcul1[[#This Row],[Produits]],amendements_liste[], 4,0)</f>
        <v>46.6</v>
      </c>
      <c r="D13" s="58">
        <f>VLOOKUP(Amendements_calcul1[[#This Row],[Produits]],amendements_liste[],5,0)</f>
        <v>0</v>
      </c>
      <c r="E13" s="104" t="e">
        <f>$B$1*1000*(100/Amendements_calcul1[[#This Row],[Tx MO en %]])*(100/Amendements_calcul1[[#This Row],[ISMO]])</f>
        <v>#DIV/0!</v>
      </c>
      <c r="F13" s="189" t="e">
        <f>(Amendements_calcul1[[#This Row],[Dose amendement (kg/ha)]])*($F$1/10000)</f>
        <v>#DIV/0!</v>
      </c>
      <c r="G13" s="192" t="e">
        <f>(Amendements_calcul1[[#This Row],[Quantité à apporter à la parcelle (en kg)]])*(1/VLOOKUP(Amendements_calcul1[[#This Row],[Produits]],amendements_liste[],11,0))</f>
        <v>#DIV/0!</v>
      </c>
      <c r="H13" s="58">
        <f>VLOOKUP(Amendements_calcul1[[#This Row],[Produits]],amendements_liste[],12,0)</f>
        <v>4</v>
      </c>
      <c r="I13" s="193" t="e">
        <f>Amendements_calcul1[[#This Row],[Prix/kg *]]*Amendements_calcul1[[#This Row],[Dose amendement (kg/ha)]]</f>
        <v>#DIV/0!</v>
      </c>
      <c r="J13" s="193" t="e">
        <f>Amendements_calcul1[[#This Row],[Quantité à apporter à la parcelle (en kg)]]*Amendements_calcul1[[#This Row],[Prix/kg *]]</f>
        <v>#DIV/0!</v>
      </c>
      <c r="K13" s="194" t="e">
        <f>(VLOOKUP(Amendements_calcul1[[#This Row],[Produits]],amendements_liste[],6,0)/100)*Amendements_calcul1[[#This Row],[Dose amendement (kg/ha)]]</f>
        <v>#DIV/0!</v>
      </c>
      <c r="L13" s="194" t="e">
        <f>(VLOOKUP(Amendements_calcul1[[#This Row],[Produits]],amendements_liste[],7,0)/100)*Amendements_calcul1[[#This Row],[Dose amendement (kg/ha)]]</f>
        <v>#DIV/0!</v>
      </c>
      <c r="M13" s="194" t="e">
        <f>(VLOOKUP(Amendements_calcul1[[#This Row],[Produits]],amendements_liste[],8,0)/100)*Amendements_calcul1[[#This Row],[Dose amendement (kg/ha)]]</f>
        <v>#DIV/0!</v>
      </c>
      <c r="N13" s="195" t="e">
        <f>(VLOOKUP(Amendements_calcul1[[#This Row],[Produits]],amendements_liste[],9,0)/100)*Amendements_calcul1[[#This Row],[Dose amendement (kg/ha)]]</f>
        <v>#DIV/0!</v>
      </c>
      <c r="O13" s="194" t="e">
        <f>(VLOOKUP(Amendements_calcul1[[#This Row],[Produits]],amendements_liste[],10,0)/100)*Amendements_calcul1[[#This Row],[Dose amendement (kg/ha)]]</f>
        <v>#DIV/0!</v>
      </c>
      <c r="P13" s="58" t="str">
        <f>VLOOKUP(Amendements_calcul1[[#This Row],[Produits]],amendements_liste[],13,0)</f>
        <v>Epandeur à fumier ou à compost</v>
      </c>
    </row>
    <row r="16" spans="1:16" x14ac:dyDescent="0.35">
      <c r="A16" s="94" t="s">
        <v>102</v>
      </c>
      <c r="K16" s="215" t="s">
        <v>33</v>
      </c>
      <c r="L16" s="215"/>
      <c r="M16" s="215"/>
      <c r="N16" s="215"/>
      <c r="O16" s="215"/>
    </row>
    <row r="17" spans="1:17" ht="9" customHeight="1" thickBot="1" x14ac:dyDescent="0.4"/>
    <row r="18" spans="1:17" ht="33" customHeight="1" thickBot="1" x14ac:dyDescent="0.4">
      <c r="A18" s="97" t="s">
        <v>9</v>
      </c>
      <c r="B18" s="97" t="s">
        <v>11</v>
      </c>
      <c r="C18" s="97" t="s">
        <v>35</v>
      </c>
      <c r="D18" s="99" t="s">
        <v>0</v>
      </c>
      <c r="E18" s="100" t="s">
        <v>36</v>
      </c>
      <c r="F18" s="113" t="s">
        <v>41</v>
      </c>
      <c r="G18" s="114" t="s">
        <v>37</v>
      </c>
      <c r="H18" s="118" t="s">
        <v>24</v>
      </c>
      <c r="I18" s="115" t="s">
        <v>25</v>
      </c>
      <c r="J18" s="115" t="s">
        <v>26</v>
      </c>
      <c r="K18" s="107" t="s">
        <v>16</v>
      </c>
      <c r="L18" s="107" t="s">
        <v>17</v>
      </c>
      <c r="M18" s="107" t="s">
        <v>18</v>
      </c>
      <c r="N18" s="107" t="s">
        <v>19</v>
      </c>
      <c r="O18" s="107" t="s">
        <v>20</v>
      </c>
      <c r="P18" s="116" t="s">
        <v>38</v>
      </c>
      <c r="Q18" s="97" t="s">
        <v>27</v>
      </c>
    </row>
    <row r="19" spans="1:17" s="1" customFormat="1" ht="15" thickBot="1" x14ac:dyDescent="0.4">
      <c r="A19" s="98" t="s">
        <v>153</v>
      </c>
      <c r="B19" s="58" t="s">
        <v>50</v>
      </c>
      <c r="C19" s="58">
        <f>VLOOKUP(Amendements_calcul2[[#This Row],[Produit]],amendements_liste[],4,0)</f>
        <v>25.7</v>
      </c>
      <c r="D19" s="44">
        <f>VLOOKUP(Amendements_calcul2[[#This Row],[Produit]],amendements_liste[],5,0)</f>
        <v>75</v>
      </c>
      <c r="E19" s="101">
        <v>1000</v>
      </c>
      <c r="F19" s="108">
        <f>Amendements_calcul2[[#This Row],[Dose amendement (kg/ha)]]*(Amendements_calcul2[[#This Row],[Tx MO en %]]/100)*(Amendements_calcul2[[#This Row],[ISMO]]/100)</f>
        <v>192.75</v>
      </c>
      <c r="G19" s="105">
        <f>Amendements_calcul2[[#This Row],[Dose amendement (kg/ha)]]*($F$1/10000)</f>
        <v>300</v>
      </c>
      <c r="H19" s="45">
        <f>VLOOKUP(Amendements_calcul2[[#This Row],[Produit]],amendements_liste[],12,0)</f>
        <v>20</v>
      </c>
      <c r="I19" s="76">
        <f>Amendements_calcul2[[#This Row],[Prix/kg *]]*Amendements_calcul2[[#This Row],[Dose amendement (kg/ha)]]</f>
        <v>20000</v>
      </c>
      <c r="J19" s="76">
        <f>Amendements_calcul2[[#This Row],[Quantité à apporter à la parcelle (en kg)]]*Amendements_calcul2[[#This Row],[Prix/kg *]]</f>
        <v>6000</v>
      </c>
      <c r="K19" s="119">
        <f>(VLOOKUP(Amendements_calcul2[[#This Row],[Produit]],amendements_liste[],6,0)/100)*Amendements_calcul2[[#This Row],[Dose amendement (kg/ha)]]</f>
        <v>11.000000000000002</v>
      </c>
      <c r="L19" s="119">
        <f>(VLOOKUP(Amendements_calcul2[[#This Row],[Produit]],amendements_liste[],7,0)/100)*Amendements_calcul2[[#This Row],[Dose amendement (kg/ha)]]</f>
        <v>8.1000000000000014</v>
      </c>
      <c r="M19" s="119">
        <f>(VLOOKUP(Amendements_calcul2[[#This Row],[Produit]],amendements_liste[],8,0)/100)*Amendements_calcul2[[#This Row],[Dose amendement (kg/ha)]]</f>
        <v>8.1999999999999993</v>
      </c>
      <c r="N19" s="119">
        <f>(VLOOKUP(Amendements_calcul2[[#This Row],[Produit]],amendements_liste[],9,0)/100)*Amendements_calcul2[[#This Row],[Dose amendement (kg/ha)]]</f>
        <v>37.900000000000006</v>
      </c>
      <c r="O19" s="119">
        <f>(VLOOKUP(Amendements_calcul2[[#This Row],[Produit]],amendements_liste[],10,0)/100)*Amendements_calcul2[[#This Row],[Dose amendement (kg/ha)]]</f>
        <v>16.899999999999999</v>
      </c>
      <c r="P19" s="196">
        <f>(Amendements_calcul2[[#This Row],[Quantité à apporter à la parcelle (en kg)]])*(1/VLOOKUP(Amendements_calcul2[[#This Row],[Produit]],amendements_liste[],11,0))</f>
        <v>0.5714285714285714</v>
      </c>
      <c r="Q19" s="58" t="str">
        <f>VLOOKUP(Amendements_calcul2[[#This Row],[Produit]],amendements_liste[],13,0)</f>
        <v>Epandeur à fumier ou à compost</v>
      </c>
    </row>
    <row r="20" spans="1:17" s="1" customFormat="1" ht="15" thickBot="1" x14ac:dyDescent="0.4">
      <c r="A20" s="98" t="s">
        <v>40</v>
      </c>
      <c r="B20" s="58" t="str">
        <f>VLOOKUP(Amendements_calcul2[[#This Row],[Produit]],amendements_liste[],3,0)</f>
        <v>non</v>
      </c>
      <c r="C20" s="58">
        <f>VLOOKUP(Amendements_calcul2[[#This Row],[Produit]],amendements_liste[],4,0)</f>
        <v>30.2</v>
      </c>
      <c r="D20" s="58">
        <f>VLOOKUP(Amendements_calcul2[[#This Row],[Produit]],amendements_liste[],5,0)</f>
        <v>84</v>
      </c>
      <c r="E20" s="176">
        <v>0</v>
      </c>
      <c r="F20" s="177">
        <f>Amendements_calcul2[[#This Row],[Dose amendement (kg/ha)]]*(Amendements_calcul2[[#This Row],[Tx MO en %]]/100)*(Amendements_calcul2[[#This Row],[ISMO]]/100)</f>
        <v>0</v>
      </c>
      <c r="G20" s="105">
        <f>Amendements_calcul2[[#This Row],[Dose amendement (kg/ha)]]*($F$1/10000)</f>
        <v>0</v>
      </c>
      <c r="H20" s="45">
        <f>VLOOKUP(Amendements_calcul2[[#This Row],[Produit]],amendements_liste[],12,0)</f>
        <v>70</v>
      </c>
      <c r="I20" s="76">
        <f>Amendements_calcul2[[#This Row],[Prix/kg *]]*Amendements_calcul2[[#This Row],[Dose amendement (kg/ha)]]</f>
        <v>0</v>
      </c>
      <c r="J20" s="76">
        <f>Amendements_calcul2[[#This Row],[Quantité à apporter à la parcelle (en kg)]]*Amendements_calcul2[[#This Row],[Prix/kg *]]</f>
        <v>0</v>
      </c>
      <c r="K20" s="119">
        <f>(VLOOKUP(Amendements_calcul2[[#This Row],[Produit]],amendements_liste[],6,0)/100)*Amendements_calcul2[[#This Row],[Dose amendement (kg/ha)]]</f>
        <v>0</v>
      </c>
      <c r="L20" s="119">
        <f>(VLOOKUP(Amendements_calcul2[[#This Row],[Produit]],amendements_liste[],7,0)/100)*Amendements_calcul2[[#This Row],[Dose amendement (kg/ha)]]</f>
        <v>0</v>
      </c>
      <c r="M20" s="119">
        <f>(VLOOKUP(Amendements_calcul2[[#This Row],[Produit]],amendements_liste[],8,0)/100)*Amendements_calcul2[[#This Row],[Dose amendement (kg/ha)]]</f>
        <v>0</v>
      </c>
      <c r="N20" s="119">
        <f>(VLOOKUP(Amendements_calcul2[[#This Row],[Produit]],amendements_liste[],9,0)/100)*Amendements_calcul2[[#This Row],[Dose amendement (kg/ha)]]</f>
        <v>0</v>
      </c>
      <c r="O20" s="119">
        <f>(VLOOKUP(Amendements_calcul2[[#This Row],[Produit]],amendements_liste[],10,0)/100)*Amendements_calcul2[[#This Row],[Dose amendement (kg/ha)]]</f>
        <v>0</v>
      </c>
      <c r="P20" s="196">
        <f>(Amendements_calcul2[[#This Row],[Quantité à apporter à la parcelle (en kg)]])*(1/VLOOKUP(Amendements_calcul2[[#This Row],[Produit]],amendements_liste[],11,0))</f>
        <v>0</v>
      </c>
      <c r="Q20" s="58" t="str">
        <f>VLOOKUP(Amendements_calcul2[[#This Row],[Produit]],amendements_liste[],13,0)</f>
        <v>Epandeur à fumier ou à compost</v>
      </c>
    </row>
    <row r="21" spans="1:17" s="1" customFormat="1" ht="15" thickBot="1" x14ac:dyDescent="0.4">
      <c r="A21" s="98" t="s">
        <v>141</v>
      </c>
      <c r="B21" s="58" t="str">
        <f>VLOOKUP(Amendements_calcul2[[#This Row],[Produit]],amendements_liste[],3,0)</f>
        <v>non</v>
      </c>
      <c r="C21" s="58">
        <f>VLOOKUP(Amendements_calcul2[[#This Row],[Produit]],amendements_liste[],4,0)</f>
        <v>63.2</v>
      </c>
      <c r="D21" s="58">
        <f>VLOOKUP(Amendements_calcul2[[#This Row],[Produit]],amendements_liste[],5,0)</f>
        <v>53.5</v>
      </c>
      <c r="E21" s="176">
        <v>0</v>
      </c>
      <c r="F21" s="177">
        <f>Amendements_calcul2[[#This Row],[Dose amendement (kg/ha)]]*(Amendements_calcul2[[#This Row],[Tx MO en %]]/100)*(Amendements_calcul2[[#This Row],[ISMO]]/100)</f>
        <v>0</v>
      </c>
      <c r="G21" s="105">
        <f>Amendements_calcul2[[#This Row],[Dose amendement (kg/ha)]]*($F$1/10000)</f>
        <v>0</v>
      </c>
      <c r="H21" s="45">
        <f>VLOOKUP(Amendements_calcul2[[#This Row],[Produit]],amendements_liste[],12,0)</f>
        <v>0</v>
      </c>
      <c r="I21" s="76">
        <f>Amendements_calcul2[[#This Row],[Prix/kg *]]*Amendements_calcul2[[#This Row],[Dose amendement (kg/ha)]]</f>
        <v>0</v>
      </c>
      <c r="J21" s="76">
        <f>Amendements_calcul2[[#This Row],[Quantité à apporter à la parcelle (en kg)]]*Amendements_calcul2[[#This Row],[Prix/kg *]]</f>
        <v>0</v>
      </c>
      <c r="K21" s="119">
        <f>(VLOOKUP(Amendements_calcul2[[#This Row],[Produit]],amendements_liste[],6,0)/100)*Amendements_calcul2[[#This Row],[Dose amendement (kg/ha)]]</f>
        <v>0</v>
      </c>
      <c r="L21" s="119">
        <f>(VLOOKUP(Amendements_calcul2[[#This Row],[Produit]],amendements_liste[],7,0)/100)*Amendements_calcul2[[#This Row],[Dose amendement (kg/ha)]]</f>
        <v>0</v>
      </c>
      <c r="M21" s="119">
        <f>(VLOOKUP(Amendements_calcul2[[#This Row],[Produit]],amendements_liste[],8,0)/100)*Amendements_calcul2[[#This Row],[Dose amendement (kg/ha)]]</f>
        <v>0</v>
      </c>
      <c r="N21" s="119">
        <f>(VLOOKUP(Amendements_calcul2[[#This Row],[Produit]],amendements_liste[],9,0)/100)*Amendements_calcul2[[#This Row],[Dose amendement (kg/ha)]]</f>
        <v>0</v>
      </c>
      <c r="O21" s="119">
        <f>(VLOOKUP(Amendements_calcul2[[#This Row],[Produit]],amendements_liste[],10,0)/100)*Amendements_calcul2[[#This Row],[Dose amendement (kg/ha)]]</f>
        <v>0</v>
      </c>
      <c r="P21" s="196">
        <f>(Amendements_calcul2[[#This Row],[Quantité à apporter à la parcelle (en kg)]])*(1/VLOOKUP(Amendements_calcul2[[#This Row],[Produit]],amendements_liste[],11,0))</f>
        <v>0</v>
      </c>
      <c r="Q21" s="58" t="str">
        <f>VLOOKUP(Amendements_calcul2[[#This Row],[Produit]],amendements_liste[],13,0)</f>
        <v>Epandeur à fumier ou à compost</v>
      </c>
    </row>
    <row r="22" spans="1:17" s="1" customFormat="1" ht="15" thickBot="1" x14ac:dyDescent="0.4">
      <c r="A22" s="98" t="s">
        <v>39</v>
      </c>
      <c r="B22" s="58" t="str">
        <f>VLOOKUP(Amendements_calcul2[[#This Row],[Produit]],amendements_liste[],3,0)</f>
        <v>oui</v>
      </c>
      <c r="C22" s="58">
        <f>VLOOKUP(Amendements_calcul2[[#This Row],[Produit]],amendements_liste[],4,0)</f>
        <v>61.3</v>
      </c>
      <c r="D22" s="58">
        <f>VLOOKUP(Amendements_calcul2[[#This Row],[Produit]],amendements_liste[],5,0)</f>
        <v>70</v>
      </c>
      <c r="E22" s="176">
        <v>0</v>
      </c>
      <c r="F22" s="177">
        <f>Amendements_calcul2[[#This Row],[Dose amendement (kg/ha)]]*(Amendements_calcul2[[#This Row],[Tx MO en %]]/100)*(Amendements_calcul2[[#This Row],[ISMO]]/100)</f>
        <v>0</v>
      </c>
      <c r="G22" s="105">
        <f>Amendements_calcul2[[#This Row],[Dose amendement (kg/ha)]]*($F$1/10000)</f>
        <v>0</v>
      </c>
      <c r="H22" s="45">
        <f>VLOOKUP(Amendements_calcul2[[#This Row],[Produit]],amendements_liste[],12,0)</f>
        <v>0</v>
      </c>
      <c r="I22" s="76">
        <f>Amendements_calcul2[[#This Row],[Prix/kg *]]*Amendements_calcul2[[#This Row],[Dose amendement (kg/ha)]]</f>
        <v>0</v>
      </c>
      <c r="J22" s="76">
        <f>Amendements_calcul2[[#This Row],[Quantité à apporter à la parcelle (en kg)]]*Amendements_calcul2[[#This Row],[Prix/kg *]]</f>
        <v>0</v>
      </c>
      <c r="K22" s="119">
        <f>(VLOOKUP(Amendements_calcul2[[#This Row],[Produit]],amendements_liste[],6,0)/100)*Amendements_calcul2[[#This Row],[Dose amendement (kg/ha)]]</f>
        <v>0</v>
      </c>
      <c r="L22" s="119">
        <f>(VLOOKUP(Amendements_calcul2[[#This Row],[Produit]],amendements_liste[],7,0)/100)*Amendements_calcul2[[#This Row],[Dose amendement (kg/ha)]]</f>
        <v>0</v>
      </c>
      <c r="M22" s="119">
        <f>(VLOOKUP(Amendements_calcul2[[#This Row],[Produit]],amendements_liste[],8,0)/100)*Amendements_calcul2[[#This Row],[Dose amendement (kg/ha)]]</f>
        <v>0</v>
      </c>
      <c r="N22" s="119">
        <f>(VLOOKUP(Amendements_calcul2[[#This Row],[Produit]],amendements_liste[],9,0)/100)*Amendements_calcul2[[#This Row],[Dose amendement (kg/ha)]]</f>
        <v>0</v>
      </c>
      <c r="O22" s="119">
        <f>(VLOOKUP(Amendements_calcul2[[#This Row],[Produit]],amendements_liste[],10,0)/100)*Amendements_calcul2[[#This Row],[Dose amendement (kg/ha)]]</f>
        <v>0</v>
      </c>
      <c r="P22" s="196">
        <f>(Amendements_calcul2[[#This Row],[Quantité à apporter à la parcelle (en kg)]])*(1/VLOOKUP(Amendements_calcul2[[#This Row],[Produit]],amendements_liste[],11,0))</f>
        <v>0</v>
      </c>
      <c r="Q22" s="58" t="str">
        <f>VLOOKUP(Amendements_calcul2[[#This Row],[Produit]],amendements_liste[],13,0)</f>
        <v>Epandeur à fumier ou à compost</v>
      </c>
    </row>
    <row r="23" spans="1:17" x14ac:dyDescent="0.35">
      <c r="A23" t="s">
        <v>30</v>
      </c>
      <c r="E23" s="20"/>
      <c r="F23" s="1">
        <f>SUBTOTAL(109,Amendements_calcul2[Apport de MO stable (kg/ha)])</f>
        <v>192.75</v>
      </c>
      <c r="G23" s="1">
        <f>SUBTOTAL(109,Amendements_calcul2[Quantité à apporter à la parcelle (en kg)])</f>
        <v>300</v>
      </c>
      <c r="H23" s="1"/>
      <c r="I23" s="1"/>
      <c r="J23" s="1">
        <f>SUBTOTAL(109,Amendements_calcul2[Prix/parcelle *])</f>
        <v>6000</v>
      </c>
      <c r="Q23">
        <f>SUBTOTAL(109,Amendements_calcul2[Matériel d''épandage])</f>
        <v>0</v>
      </c>
    </row>
  </sheetData>
  <mergeCells count="4">
    <mergeCell ref="K4:O4"/>
    <mergeCell ref="J1:N2"/>
    <mergeCell ref="K16:O16"/>
    <mergeCell ref="A4:B4"/>
  </mergeCells>
  <dataValidations count="1">
    <dataValidation type="list" allowBlank="1" showInputMessage="1" showErrorMessage="1" sqref="A19:A22 A7:A13" xr:uid="{844EEAA8-6551-4931-85D9-4F268E7BC25D}">
      <formula1>INDIRECT("amendements_liste[Produits]")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C324-762C-425F-A8BE-03C714B6B2BC}">
  <dimension ref="A1:AL13"/>
  <sheetViews>
    <sheetView workbookViewId="0">
      <selection activeCell="S3" sqref="S3"/>
    </sheetView>
  </sheetViews>
  <sheetFormatPr baseColWidth="10" defaultColWidth="11.453125" defaultRowHeight="14.5" outlineLevelCol="1" x14ac:dyDescent="0.35"/>
  <cols>
    <col min="1" max="1" width="39.54296875" bestFit="1" customWidth="1"/>
    <col min="2" max="2" width="21.08984375" customWidth="1"/>
    <col min="3" max="3" width="25.36328125" bestFit="1" customWidth="1"/>
    <col min="4" max="4" width="7.54296875" hidden="1" customWidth="1" outlineLevel="1"/>
    <col min="5" max="5" width="7.08984375" hidden="1" customWidth="1" outlineLevel="1"/>
    <col min="6" max="6" width="7.36328125" hidden="1" customWidth="1" outlineLevel="1"/>
    <col min="7" max="7" width="7.6328125" hidden="1" customWidth="1" outlineLevel="1"/>
    <col min="8" max="8" width="8.453125" hidden="1" customWidth="1" outlineLevel="1"/>
    <col min="9" max="9" width="14.6328125" hidden="1" customWidth="1" outlineLevel="1"/>
    <col min="10" max="10" width="15.90625" hidden="1" customWidth="1" outlineLevel="1"/>
    <col min="11" max="11" width="16.90625" bestFit="1" customWidth="1" collapsed="1"/>
    <col min="12" max="12" width="11.6328125" bestFit="1" customWidth="1"/>
    <col min="13" max="13" width="13.36328125" bestFit="1" customWidth="1"/>
    <col min="14" max="14" width="11.6328125" bestFit="1" customWidth="1"/>
    <col min="15" max="15" width="11" bestFit="1" customWidth="1"/>
    <col min="16" max="16" width="15" bestFit="1" customWidth="1"/>
    <col min="17" max="17" width="11.36328125" customWidth="1"/>
    <col min="18" max="18" width="11" bestFit="1" customWidth="1"/>
    <col min="19" max="19" width="21.453125" bestFit="1" customWidth="1"/>
    <col min="20" max="20" width="14.36328125" hidden="1" customWidth="1" outlineLevel="1"/>
    <col min="21" max="21" width="11.453125" collapsed="1"/>
    <col min="22" max="22" width="15.90625" bestFit="1" customWidth="1"/>
    <col min="23" max="23" width="27.36328125" bestFit="1" customWidth="1"/>
    <col min="24" max="24" width="21.453125" bestFit="1" customWidth="1"/>
    <col min="30" max="30" width="22.08984375" bestFit="1" customWidth="1"/>
    <col min="31" max="31" width="11.453125" hidden="1" customWidth="1" outlineLevel="1"/>
    <col min="32" max="32" width="11.453125" collapsed="1"/>
    <col min="33" max="33" width="15.90625" bestFit="1" customWidth="1"/>
    <col min="34" max="34" width="16" bestFit="1" customWidth="1"/>
    <col min="35" max="35" width="19.453125" bestFit="1" customWidth="1"/>
    <col min="36" max="36" width="5.54296875" customWidth="1"/>
    <col min="37" max="37" width="26.08984375" customWidth="1"/>
    <col min="38" max="38" width="6.36328125" customWidth="1"/>
    <col min="39" max="39" width="8.36328125" customWidth="1"/>
  </cols>
  <sheetData>
    <row r="1" spans="1:38" ht="19.5" customHeight="1" thickBot="1" x14ac:dyDescent="0.4">
      <c r="A1" s="88" t="s">
        <v>5</v>
      </c>
      <c r="B1" s="89">
        <v>5000</v>
      </c>
      <c r="C1" s="90" t="s">
        <v>6</v>
      </c>
      <c r="S1" s="216" t="s">
        <v>156</v>
      </c>
      <c r="T1" s="217"/>
      <c r="U1" s="217"/>
      <c r="V1" s="217"/>
      <c r="W1" s="218"/>
    </row>
    <row r="2" spans="1:38" ht="37.25" customHeight="1" x14ac:dyDescent="0.35">
      <c r="P2" s="71"/>
      <c r="Q2" s="71"/>
      <c r="R2" s="72"/>
      <c r="S2" s="219"/>
      <c r="T2" s="220"/>
      <c r="U2" s="220"/>
      <c r="V2" s="220"/>
      <c r="W2" s="221"/>
    </row>
    <row r="3" spans="1:38" ht="6" customHeight="1" x14ac:dyDescent="0.35">
      <c r="P3" s="71"/>
      <c r="Q3" s="71"/>
      <c r="R3" s="72"/>
      <c r="S3" s="73"/>
    </row>
    <row r="4" spans="1:38" x14ac:dyDescent="0.35">
      <c r="A4" s="2"/>
      <c r="D4" s="223" t="s">
        <v>7</v>
      </c>
      <c r="E4" s="224"/>
      <c r="F4" s="224"/>
      <c r="G4" s="224"/>
      <c r="H4" s="225"/>
      <c r="I4" s="65"/>
      <c r="J4" s="65"/>
      <c r="K4" s="65"/>
      <c r="L4" s="226" t="s">
        <v>8</v>
      </c>
      <c r="M4" s="226"/>
      <c r="N4" s="226"/>
      <c r="O4" s="226"/>
      <c r="P4" s="226"/>
      <c r="Q4" s="226"/>
      <c r="R4" s="226"/>
      <c r="X4" s="40"/>
      <c r="Y4" s="40"/>
      <c r="Z4" s="40"/>
      <c r="AA4" s="40"/>
      <c r="AB4" s="40"/>
      <c r="AC4" s="40"/>
      <c r="AF4" s="9"/>
      <c r="AG4" s="9"/>
      <c r="AH4" s="9"/>
      <c r="AI4" s="9"/>
    </row>
    <row r="5" spans="1:38" ht="5.25" customHeight="1" thickBot="1" x14ac:dyDescent="0.4">
      <c r="U5" s="67"/>
      <c r="V5" s="67"/>
    </row>
    <row r="6" spans="1:38" ht="39.75" customHeight="1" thickBot="1" x14ac:dyDescent="0.4">
      <c r="A6" s="69" t="s">
        <v>9</v>
      </c>
      <c r="B6" s="69" t="s">
        <v>10</v>
      </c>
      <c r="C6" s="69" t="s">
        <v>11</v>
      </c>
      <c r="D6" s="12" t="s">
        <v>1</v>
      </c>
      <c r="E6" s="12" t="s">
        <v>2</v>
      </c>
      <c r="F6" s="12" t="s">
        <v>3</v>
      </c>
      <c r="G6" s="12" t="s">
        <v>4</v>
      </c>
      <c r="H6" s="66" t="s">
        <v>12</v>
      </c>
      <c r="I6" s="12" t="s">
        <v>13</v>
      </c>
      <c r="J6" s="63" t="s">
        <v>14</v>
      </c>
      <c r="K6" s="81" t="s">
        <v>15</v>
      </c>
      <c r="L6" s="64" t="s">
        <v>16</v>
      </c>
      <c r="M6" s="21" t="s">
        <v>17</v>
      </c>
      <c r="N6" s="21" t="s">
        <v>18</v>
      </c>
      <c r="O6" s="21" t="s">
        <v>19</v>
      </c>
      <c r="P6" s="21" t="s">
        <v>20</v>
      </c>
      <c r="Q6" s="41" t="s">
        <v>21</v>
      </c>
      <c r="R6" s="41" t="s">
        <v>22</v>
      </c>
      <c r="S6" s="109" t="s">
        <v>23</v>
      </c>
      <c r="T6" s="12" t="s">
        <v>24</v>
      </c>
      <c r="U6" s="79" t="s">
        <v>25</v>
      </c>
      <c r="V6" s="80" t="s">
        <v>26</v>
      </c>
      <c r="W6" s="70" t="s">
        <v>27</v>
      </c>
      <c r="Y6" s="42"/>
      <c r="Z6" s="42"/>
      <c r="AA6" s="42"/>
    </row>
    <row r="7" spans="1:38" ht="15" thickBot="1" x14ac:dyDescent="0.4">
      <c r="A7" s="11" t="s">
        <v>138</v>
      </c>
      <c r="B7" s="46" t="str">
        <f>VLOOKUP(Engrais_calcul[[#This Row],[Produit]],engrais_liste[],2,0)</f>
        <v>Organique</v>
      </c>
      <c r="C7" s="19" t="str">
        <f>VLOOKUP(Engrais_calcul[[#This Row],[Produit]],engrais_liste[],3,0)</f>
        <v>oui</v>
      </c>
      <c r="D7" s="48">
        <f>VLOOKUP(Engrais_calcul[[#This Row],[Produit]],engrais_liste[],6,0)</f>
        <v>10.3</v>
      </c>
      <c r="E7" s="48">
        <f>VLOOKUP(Engrais_calcul[[#This Row],[Produit]],engrais_liste[],7,0)</f>
        <v>8.1999999999999993</v>
      </c>
      <c r="F7" s="48">
        <f>VLOOKUP(Engrais_calcul[[#This Row],[Produit]],engrais_liste[],8,0)</f>
        <v>0.64</v>
      </c>
      <c r="G7" s="48">
        <f>VLOOKUP(Engrais_calcul[[#This Row],[Produit]],engrais_liste[],9,0)</f>
        <v>8.5</v>
      </c>
      <c r="H7" s="48">
        <f>VLOOKUP(Engrais_calcul[[#This Row],[Produit]],engrais_liste[],10,0)</f>
        <v>0.3</v>
      </c>
      <c r="I7" s="48">
        <f>VLOOKUP(Engrais_calcul[[#This Row],[Produit]],engrais_liste[],4,0)</f>
        <v>73.599999999999994</v>
      </c>
      <c r="J7" s="61">
        <f>VLOOKUP(Engrais_calcul[[#This Row],[Produit]],engrais_liste[],5,0)</f>
        <v>60</v>
      </c>
      <c r="K7" s="62">
        <v>800</v>
      </c>
      <c r="L7" s="19">
        <f>Engrais_calcul[[#This Row],[Dose engrais (kg/ha)]]*(Engrais_calcul[[#This Row],[N]]/100)</f>
        <v>82.4</v>
      </c>
      <c r="M7" s="6">
        <f>Engrais_calcul[[#This Row],[Dose engrais (kg/ha)]]*(Engrais_calcul[[#This Row],[P]]/100)</f>
        <v>65.599999999999994</v>
      </c>
      <c r="N7" s="6">
        <f>Engrais_calcul[[#This Row],[Dose engrais (kg/ha)]]*(Engrais_calcul[[#This Row],[K]]/100)</f>
        <v>5.12</v>
      </c>
      <c r="O7" s="6">
        <f>Engrais_calcul[[#This Row],[Dose engrais (kg/ha)]]*(Engrais_calcul[[#This Row],[Ca]]/100)</f>
        <v>68</v>
      </c>
      <c r="P7" s="6">
        <f>(Engrais_calcul[[#This Row],[Dose engrais (kg/ha)]]*Engrais_calcul[[#This Row],[Mg]]/100)</f>
        <v>2.4</v>
      </c>
      <c r="Q7" s="5">
        <f>Engrais_calcul[[#This Row],[Dose engrais (kg/ha)]]*(Engrais_calcul[[#This Row],[Taux MO (% de MB)]]/100)</f>
        <v>588.79999999999995</v>
      </c>
      <c r="R7" s="5">
        <f>Engrais_calcul[[#This Row],[Dose engrais (kg/ha)]]*(Engrais_calcul[[#This Row],[Taux MO (% de MB)]]/100)*(Engrais_calcul[[#This Row],[ISMO (% de MO)]]/100)</f>
        <v>353.28</v>
      </c>
      <c r="S7" s="75">
        <f>Engrais_calcul[[#This Row],[Dose engrais (kg/ha)]]*($B$1/10000)</f>
        <v>400</v>
      </c>
      <c r="T7" s="1">
        <f xml:space="preserve"> VLOOKUP(Engrais_calcul[[#This Row],[Produit]],engrais_liste[],12,0)</f>
        <v>195</v>
      </c>
      <c r="U7" s="76">
        <f>Engrais_calcul[[#This Row],[Prix/kg *]]*Engrais_calcul[[#This Row],[Dose engrais (kg/ha)]]</f>
        <v>156000</v>
      </c>
      <c r="V7" s="77">
        <f>Engrais_calcul[[#This Row],[Quantité à apporter à la parcelle (en kg) ]]*Engrais_calcul[[#This Row],[Prix/kg *]]</f>
        <v>78000</v>
      </c>
      <c r="W7" s="85" t="str">
        <f>VLOOKUP(Engrais_calcul[[#This Row],[Produit]],engrais_liste[],13,0)</f>
        <v>Epandeur à nappe, pendulaire ou centrifuge à tapis</v>
      </c>
      <c r="Y7" s="4"/>
      <c r="Z7" s="3"/>
      <c r="AA7" s="3"/>
    </row>
    <row r="8" spans="1:38" ht="15" thickBot="1" x14ac:dyDescent="0.4">
      <c r="A8" s="38" t="s">
        <v>29</v>
      </c>
      <c r="B8" s="84" t="str">
        <f>VLOOKUP(Engrais_calcul[[#This Row],[Produit]],engrais_liste[],2,0)</f>
        <v>Organique</v>
      </c>
      <c r="C8" s="6" t="str">
        <f>VLOOKUP(Engrais_calcul[[#This Row],[Produit]],engrais_liste[],3,0)</f>
        <v>non</v>
      </c>
      <c r="D8" s="48">
        <f>VLOOKUP(Engrais_calcul[[#This Row],[Produit]],engrais_liste[],6,0)</f>
        <v>5.58</v>
      </c>
      <c r="E8" s="48">
        <f>VLOOKUP(Engrais_calcul[[#This Row],[Produit]],engrais_liste[],7,0)</f>
        <v>5.3</v>
      </c>
      <c r="F8" s="48">
        <f>VLOOKUP(Engrais_calcul[[#This Row],[Produit]],engrais_liste[],8,0)</f>
        <v>0.69</v>
      </c>
      <c r="G8" s="48">
        <f>VLOOKUP(Engrais_calcul[[#This Row],[Produit]],engrais_liste[],9,0)</f>
        <v>1.65</v>
      </c>
      <c r="H8" s="48">
        <f>VLOOKUP(Engrais_calcul[[#This Row],[Produit]],engrais_liste[],10,0)</f>
        <v>1.67</v>
      </c>
      <c r="I8" s="48">
        <f>VLOOKUP(Engrais_calcul[[#This Row],[Produit]],engrais_liste[],4,0)</f>
        <v>60.5</v>
      </c>
      <c r="J8" s="61">
        <f>VLOOKUP(Engrais_calcul[[#This Row],[Produit]],engrais_liste[],5,0)</f>
        <v>60</v>
      </c>
      <c r="K8" s="62">
        <v>2000</v>
      </c>
      <c r="L8" s="19">
        <f>Engrais_calcul[[#This Row],[Dose engrais (kg/ha)]]*(Engrais_calcul[[#This Row],[N]]/100)</f>
        <v>111.60000000000001</v>
      </c>
      <c r="M8" s="6">
        <f>Engrais_calcul[[#This Row],[Dose engrais (kg/ha)]]*(Engrais_calcul[[#This Row],[P]]/100)</f>
        <v>106</v>
      </c>
      <c r="N8" s="6">
        <f>Engrais_calcul[[#This Row],[Dose engrais (kg/ha)]]*(Engrais_calcul[[#This Row],[K]]/100)</f>
        <v>13.799999999999999</v>
      </c>
      <c r="O8" s="6">
        <f>Engrais_calcul[[#This Row],[Dose engrais (kg/ha)]]*(Engrais_calcul[[#This Row],[Ca]]/100)</f>
        <v>33</v>
      </c>
      <c r="P8" s="6">
        <f>(Engrais_calcul[[#This Row],[Dose engrais (kg/ha)]]*Engrais_calcul[[#This Row],[Mg]]/100)</f>
        <v>33.4</v>
      </c>
      <c r="Q8" s="5">
        <f>Engrais_calcul[[#This Row],[Dose engrais (kg/ha)]]*(Engrais_calcul[[#This Row],[Taux MO (% de MB)]]/100)</f>
        <v>1210</v>
      </c>
      <c r="R8" s="5">
        <f>Engrais_calcul[[#This Row],[Dose engrais (kg/ha)]]*(Engrais_calcul[[#This Row],[Taux MO (% de MB)]]/100)*(Engrais_calcul[[#This Row],[ISMO (% de MO)]]/100)</f>
        <v>726</v>
      </c>
      <c r="S8" s="75">
        <f>Engrais_calcul[[#This Row],[Dose engrais (kg/ha)]]*($B$1/10000)</f>
        <v>1000</v>
      </c>
      <c r="T8" s="1">
        <f xml:space="preserve"> VLOOKUP(Engrais_calcul[[#This Row],[Produit]],engrais_liste[],12,0)</f>
        <v>20</v>
      </c>
      <c r="U8" s="78">
        <f>Engrais_calcul[[#This Row],[Prix/kg *]]*Engrais_calcul[[#This Row],[Dose engrais (kg/ha)]]</f>
        <v>40000</v>
      </c>
      <c r="V8" s="76">
        <f>Engrais_calcul[[#This Row],[Quantité à apporter à la parcelle (en kg) ]]*Engrais_calcul[[#This Row],[Prix/kg *]]</f>
        <v>20000</v>
      </c>
      <c r="W8" s="58" t="str">
        <f>VLOOKUP(Engrais_calcul[[#This Row],[Produit]],engrais_liste[],13,0)</f>
        <v>Epandeur à engrais avec tapis</v>
      </c>
    </row>
    <row r="9" spans="1:38" x14ac:dyDescent="0.35">
      <c r="A9" s="8" t="s">
        <v>30</v>
      </c>
      <c r="B9" s="47"/>
      <c r="C9" s="8"/>
      <c r="D9" s="15"/>
      <c r="E9" s="15"/>
      <c r="F9" s="15"/>
      <c r="G9" s="15"/>
      <c r="H9" s="15"/>
      <c r="I9" s="15"/>
      <c r="J9" s="52"/>
      <c r="K9" s="82">
        <f>SUBTOTAL(109,Engrais_calcul[Dose engrais (kg/ha)])</f>
        <v>2800</v>
      </c>
      <c r="L9" s="83">
        <f>SUBTOTAL(109,Engrais_calcul[Apport N])</f>
        <v>194</v>
      </c>
      <c r="M9" s="15">
        <f>SUBTOTAL(109,Engrais_calcul[Apport P])</f>
        <v>171.6</v>
      </c>
      <c r="N9" s="15">
        <f>SUBTOTAL(109,Engrais_calcul[Apport K])</f>
        <v>18.919999999999998</v>
      </c>
      <c r="O9" s="15">
        <f>SUBTOTAL(109,Engrais_calcul[Apport Ca])</f>
        <v>101</v>
      </c>
      <c r="P9" s="15">
        <f>SUBTOTAL(109,Engrais_calcul[Apport Mg])</f>
        <v>35.799999999999997</v>
      </c>
      <c r="Q9" s="15">
        <f>SUBTOTAL(109,Engrais_calcul[Apport MO totale])</f>
        <v>1798.8</v>
      </c>
      <c r="R9" s="15">
        <f>SUBTOTAL(109,Engrais_calcul[Apport MO stable])</f>
        <v>1079.28</v>
      </c>
      <c r="S9" s="16">
        <f>SUBTOTAL(109,Engrais_calcul[Quantité à apporter à la parcelle (en kg) ])</f>
        <v>1400</v>
      </c>
      <c r="T9" s="14"/>
      <c r="U9" s="1">
        <f>SUBTOTAL(109,Engrais_calcul[Prix/ha *])</f>
        <v>196000</v>
      </c>
      <c r="V9" s="1">
        <f>SUBTOTAL(109,Engrais_calcul[Prix/parcelle *])</f>
        <v>98000</v>
      </c>
      <c r="W9" s="68"/>
      <c r="Y9" s="4"/>
      <c r="Z9" s="3"/>
    </row>
    <row r="10" spans="1:38" x14ac:dyDescent="0.35">
      <c r="Y10" s="4"/>
      <c r="Z10" s="3"/>
    </row>
    <row r="11" spans="1:38" ht="12" customHeight="1" x14ac:dyDescent="0.35">
      <c r="AK11" s="4"/>
      <c r="AL11" s="3"/>
    </row>
    <row r="12" spans="1:38" x14ac:dyDescent="0.35">
      <c r="AK12" s="4"/>
      <c r="AL12" s="3"/>
    </row>
    <row r="13" spans="1:38" x14ac:dyDescent="0.35">
      <c r="AK13" s="4"/>
      <c r="AL13" s="3"/>
    </row>
  </sheetData>
  <mergeCells count="3">
    <mergeCell ref="D4:H4"/>
    <mergeCell ref="L4:R4"/>
    <mergeCell ref="S1:W2"/>
  </mergeCells>
  <phoneticPr fontId="7" type="noConversion"/>
  <dataValidations count="2">
    <dataValidation operator="greaterThan" allowBlank="1" showInputMessage="1" showErrorMessage="1" sqref="K7:K8" xr:uid="{4B88C813-6FBF-432A-B31F-98F95CCD2C5A}"/>
    <dataValidation type="list" allowBlank="1" showInputMessage="1" showErrorMessage="1" sqref="A7:A8" xr:uid="{51F00ACF-7D16-4AE3-B212-A10AA7439E26}">
      <formula1>INDIRECT("engrais_liste[Produits]")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roduit" xr:uid="{88681756-F132-43AA-81ED-4F0DEB5DDAE4}">
          <x14:formula1>
            <xm:f>'LISTES DES PRODUITS'!$A$8:$A$10</xm:f>
          </x14:formula1>
          <xm:sqref>Y8:AA8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77F9-0319-4D4C-8262-91466A428903}">
  <dimension ref="A1:W72"/>
  <sheetViews>
    <sheetView zoomScale="80" zoomScaleNormal="80" workbookViewId="0">
      <selection activeCell="H2" sqref="H2"/>
    </sheetView>
  </sheetViews>
  <sheetFormatPr baseColWidth="10" defaultColWidth="11.453125" defaultRowHeight="14.5" x14ac:dyDescent="0.35"/>
  <cols>
    <col min="1" max="1" width="58.453125" bestFit="1" customWidth="1"/>
    <col min="2" max="2" width="14" bestFit="1" customWidth="1"/>
    <col min="3" max="3" width="20.90625" customWidth="1"/>
    <col min="4" max="4" width="13.90625" bestFit="1" customWidth="1"/>
    <col min="5" max="5" width="10.54296875" bestFit="1" customWidth="1"/>
    <col min="6" max="7" width="6.6328125" bestFit="1" customWidth="1"/>
    <col min="8" max="8" width="7.6328125" bestFit="1" customWidth="1"/>
    <col min="9" max="9" width="8" bestFit="1" customWidth="1"/>
    <col min="10" max="10" width="8.453125" bestFit="1" customWidth="1"/>
    <col min="11" max="11" width="26.90625" customWidth="1"/>
    <col min="12" max="12" width="15" bestFit="1" customWidth="1"/>
    <col min="13" max="13" width="50.81640625" bestFit="1" customWidth="1"/>
    <col min="14" max="14" width="6.6328125" bestFit="1" customWidth="1"/>
    <col min="15" max="15" width="14" bestFit="1" customWidth="1"/>
    <col min="16" max="16" width="12.54296875" bestFit="1" customWidth="1"/>
    <col min="17" max="17" width="13.08984375" bestFit="1" customWidth="1"/>
    <col min="20" max="20" width="21.453125" bestFit="1" customWidth="1"/>
    <col min="22" max="22" width="21.6328125" bestFit="1" customWidth="1"/>
    <col min="23" max="23" width="15.453125" bestFit="1" customWidth="1"/>
  </cols>
  <sheetData>
    <row r="1" spans="1:23" ht="21" x14ac:dyDescent="0.5">
      <c r="A1" s="198" t="s">
        <v>158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</row>
    <row r="2" spans="1:23" ht="31" customHeight="1" x14ac:dyDescent="0.35">
      <c r="A2" s="197" t="s">
        <v>159</v>
      </c>
    </row>
    <row r="3" spans="1:23" x14ac:dyDescent="0.35">
      <c r="A3" s="60" t="s">
        <v>42</v>
      </c>
    </row>
    <row r="4" spans="1:23" ht="15.5" x14ac:dyDescent="0.35">
      <c r="A4" s="18" t="s">
        <v>144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x14ac:dyDescent="0.35">
      <c r="F5" s="227" t="s">
        <v>43</v>
      </c>
      <c r="G5" s="227"/>
      <c r="H5" s="227"/>
      <c r="I5" s="227"/>
      <c r="J5" s="227"/>
    </row>
    <row r="6" spans="1:23" ht="5.25" customHeight="1" x14ac:dyDescent="0.35"/>
    <row r="7" spans="1:23" s="1" customFormat="1" ht="47.25" customHeight="1" x14ac:dyDescent="0.35">
      <c r="A7" s="2" t="s">
        <v>34</v>
      </c>
      <c r="B7" s="2" t="s">
        <v>44</v>
      </c>
      <c r="C7" s="10" t="s">
        <v>11</v>
      </c>
      <c r="D7" s="10" t="s">
        <v>45</v>
      </c>
      <c r="E7" s="10" t="s">
        <v>46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12</v>
      </c>
      <c r="K7" s="10" t="s">
        <v>47</v>
      </c>
      <c r="L7" s="10" t="s">
        <v>146</v>
      </c>
      <c r="M7" s="10" t="s">
        <v>27</v>
      </c>
      <c r="N7" s="216" t="s">
        <v>157</v>
      </c>
      <c r="O7" s="217"/>
      <c r="P7" s="217"/>
      <c r="Q7" s="217"/>
      <c r="R7" s="218"/>
    </row>
    <row r="8" spans="1:23" x14ac:dyDescent="0.35">
      <c r="A8" t="s">
        <v>138</v>
      </c>
      <c r="B8" s="1" t="s">
        <v>49</v>
      </c>
      <c r="C8" s="1" t="s">
        <v>50</v>
      </c>
      <c r="D8" s="184">
        <v>73.599999999999994</v>
      </c>
      <c r="E8" s="184">
        <v>60</v>
      </c>
      <c r="F8" s="184">
        <v>10.3</v>
      </c>
      <c r="G8" s="184">
        <v>8.1999999999999993</v>
      </c>
      <c r="H8" s="184">
        <v>0.64</v>
      </c>
      <c r="I8" s="184">
        <v>8.5</v>
      </c>
      <c r="J8" s="184">
        <v>0.3</v>
      </c>
      <c r="K8" s="1"/>
      <c r="L8" s="1">
        <v>195</v>
      </c>
      <c r="M8" t="s">
        <v>139</v>
      </c>
      <c r="N8" s="219"/>
      <c r="O8" s="220"/>
      <c r="P8" s="220"/>
      <c r="Q8" s="220"/>
      <c r="R8" s="221"/>
    </row>
    <row r="9" spans="1:23" x14ac:dyDescent="0.35">
      <c r="A9" t="s">
        <v>51</v>
      </c>
      <c r="B9" s="1" t="s">
        <v>49</v>
      </c>
      <c r="C9" s="1" t="s">
        <v>50</v>
      </c>
      <c r="D9" s="184">
        <v>30.8</v>
      </c>
      <c r="E9" s="184"/>
      <c r="F9" s="184">
        <v>3.8</v>
      </c>
      <c r="G9" s="184">
        <v>2.5</v>
      </c>
      <c r="H9" s="184">
        <v>8</v>
      </c>
      <c r="I9" s="184">
        <v>1.9</v>
      </c>
      <c r="J9" s="184">
        <v>9.1999999999999993</v>
      </c>
      <c r="K9" s="1">
        <v>400</v>
      </c>
      <c r="L9" s="1"/>
      <c r="M9" t="s">
        <v>96</v>
      </c>
      <c r="N9" s="168"/>
      <c r="O9" s="168"/>
      <c r="P9" s="168"/>
    </row>
    <row r="10" spans="1:23" x14ac:dyDescent="0.35">
      <c r="A10" t="s">
        <v>29</v>
      </c>
      <c r="B10" s="1" t="s">
        <v>49</v>
      </c>
      <c r="C10" s="1" t="s">
        <v>52</v>
      </c>
      <c r="D10" s="184">
        <v>60.5</v>
      </c>
      <c r="E10" s="184">
        <v>60</v>
      </c>
      <c r="F10" s="184">
        <v>5.58</v>
      </c>
      <c r="G10" s="184">
        <v>5.3</v>
      </c>
      <c r="H10" s="184">
        <v>0.69</v>
      </c>
      <c r="I10" s="184">
        <v>1.65</v>
      </c>
      <c r="J10" s="184">
        <v>1.67</v>
      </c>
      <c r="K10" s="1">
        <v>600</v>
      </c>
      <c r="L10" s="1">
        <v>20</v>
      </c>
      <c r="M10" t="s">
        <v>53</v>
      </c>
    </row>
    <row r="11" spans="1:23" x14ac:dyDescent="0.35">
      <c r="A11" t="s">
        <v>145</v>
      </c>
      <c r="B11" s="1" t="s">
        <v>49</v>
      </c>
      <c r="C11" s="1" t="s">
        <v>50</v>
      </c>
      <c r="D11" s="187">
        <v>2.5999999999999999E-2</v>
      </c>
      <c r="E11" s="187"/>
      <c r="F11" s="187">
        <v>2.3500000000000001E-3</v>
      </c>
      <c r="G11" s="187">
        <v>4.8999999999999998E-3</v>
      </c>
      <c r="H11" s="187">
        <v>3.7999999999999999E-2</v>
      </c>
      <c r="I11" s="187">
        <v>4.7999999999999996E-3</v>
      </c>
      <c r="J11" s="187">
        <v>0.01</v>
      </c>
      <c r="K11" s="1"/>
      <c r="L11" s="1">
        <v>100</v>
      </c>
      <c r="M11" t="s">
        <v>149</v>
      </c>
    </row>
    <row r="12" spans="1:23" x14ac:dyDescent="0.35">
      <c r="A12" t="s">
        <v>147</v>
      </c>
      <c r="B12" s="1" t="s">
        <v>49</v>
      </c>
      <c r="C12" s="1" t="s">
        <v>50</v>
      </c>
      <c r="D12" s="184">
        <v>4.9000000000000004</v>
      </c>
      <c r="E12" s="184"/>
      <c r="F12" s="188">
        <v>0.03</v>
      </c>
      <c r="G12" s="188">
        <v>5.0000000000000001E-3</v>
      </c>
      <c r="H12" s="188">
        <v>0.26</v>
      </c>
      <c r="I12" s="188">
        <v>7.0000000000000007E-2</v>
      </c>
      <c r="J12" s="188">
        <v>7.0000000000000007E-2</v>
      </c>
      <c r="K12" s="1"/>
      <c r="L12" s="1">
        <v>0</v>
      </c>
      <c r="M12" t="s">
        <v>148</v>
      </c>
    </row>
    <row r="13" spans="1:23" x14ac:dyDescent="0.35">
      <c r="A13" s="50" t="s">
        <v>28</v>
      </c>
      <c r="B13" s="1" t="s">
        <v>110</v>
      </c>
      <c r="C13" s="1" t="s">
        <v>52</v>
      </c>
      <c r="D13" s="184"/>
      <c r="E13" s="184"/>
      <c r="F13" s="55">
        <v>10</v>
      </c>
      <c r="G13" s="55">
        <v>12</v>
      </c>
      <c r="H13" s="55">
        <v>24</v>
      </c>
      <c r="I13" s="55">
        <v>0</v>
      </c>
      <c r="J13" s="55">
        <v>0</v>
      </c>
      <c r="K13" s="1"/>
      <c r="L13" s="1">
        <v>168</v>
      </c>
    </row>
    <row r="14" spans="1:23" x14ac:dyDescent="0.35">
      <c r="A14" s="50" t="s">
        <v>128</v>
      </c>
      <c r="B14" s="1" t="s">
        <v>110</v>
      </c>
      <c r="C14" s="1" t="s">
        <v>52</v>
      </c>
      <c r="D14" s="184"/>
      <c r="E14" s="184"/>
      <c r="F14" s="55">
        <v>5</v>
      </c>
      <c r="G14" s="55">
        <v>10</v>
      </c>
      <c r="H14" s="55">
        <v>25</v>
      </c>
      <c r="I14" s="55">
        <v>0</v>
      </c>
      <c r="J14" s="55">
        <v>0</v>
      </c>
      <c r="K14" s="1"/>
      <c r="L14" s="1">
        <v>128</v>
      </c>
    </row>
    <row r="15" spans="1:23" x14ac:dyDescent="0.35">
      <c r="A15" s="50" t="s">
        <v>54</v>
      </c>
      <c r="B15" s="1" t="s">
        <v>110</v>
      </c>
      <c r="C15" s="1" t="s">
        <v>52</v>
      </c>
      <c r="D15" s="184"/>
      <c r="E15" s="184"/>
      <c r="F15" s="55">
        <v>0</v>
      </c>
      <c r="G15" s="55">
        <v>32</v>
      </c>
      <c r="H15" s="55">
        <v>16</v>
      </c>
      <c r="I15" s="55">
        <v>6.5</v>
      </c>
      <c r="J15" s="55">
        <v>0</v>
      </c>
      <c r="K15" s="1"/>
      <c r="L15" s="1">
        <v>104.1</v>
      </c>
    </row>
    <row r="16" spans="1:23" x14ac:dyDescent="0.35">
      <c r="A16" s="50" t="s">
        <v>137</v>
      </c>
      <c r="B16" s="1" t="s">
        <v>110</v>
      </c>
      <c r="C16" s="1" t="s">
        <v>52</v>
      </c>
      <c r="D16" s="184"/>
      <c r="E16" s="184"/>
      <c r="F16" s="55">
        <v>12</v>
      </c>
      <c r="G16" s="55">
        <v>6</v>
      </c>
      <c r="H16" s="55">
        <v>22</v>
      </c>
      <c r="I16" s="55">
        <v>0</v>
      </c>
      <c r="J16" s="55">
        <v>0</v>
      </c>
      <c r="K16" s="1"/>
      <c r="L16" s="1">
        <v>126</v>
      </c>
    </row>
    <row r="17" spans="1:12" x14ac:dyDescent="0.35">
      <c r="A17" s="50" t="s">
        <v>116</v>
      </c>
      <c r="B17" s="1" t="s">
        <v>110</v>
      </c>
      <c r="C17" s="1" t="s">
        <v>52</v>
      </c>
      <c r="D17" s="184"/>
      <c r="E17" s="184"/>
      <c r="F17" s="55">
        <v>15</v>
      </c>
      <c r="G17" s="55">
        <v>5</v>
      </c>
      <c r="H17" s="55">
        <v>20</v>
      </c>
      <c r="I17" s="55">
        <v>0</v>
      </c>
      <c r="J17" s="55">
        <v>0</v>
      </c>
      <c r="K17" s="1"/>
      <c r="L17" s="1">
        <v>147</v>
      </c>
    </row>
    <row r="18" spans="1:12" x14ac:dyDescent="0.35">
      <c r="A18" s="50" t="s">
        <v>115</v>
      </c>
      <c r="B18" s="1" t="s">
        <v>110</v>
      </c>
      <c r="C18" s="1" t="s">
        <v>52</v>
      </c>
      <c r="D18" s="184"/>
      <c r="E18" s="184"/>
      <c r="F18" s="55">
        <v>15</v>
      </c>
      <c r="G18" s="55">
        <v>15</v>
      </c>
      <c r="H18" s="55">
        <v>15</v>
      </c>
      <c r="I18" s="55">
        <v>0</v>
      </c>
      <c r="J18" s="55">
        <v>0</v>
      </c>
      <c r="K18" s="1"/>
      <c r="L18" s="1">
        <v>128</v>
      </c>
    </row>
    <row r="19" spans="1:12" x14ac:dyDescent="0.35">
      <c r="A19" s="50" t="s">
        <v>55</v>
      </c>
      <c r="B19" s="1" t="s">
        <v>110</v>
      </c>
      <c r="C19" s="1" t="s">
        <v>52</v>
      </c>
      <c r="D19" s="184"/>
      <c r="E19" s="184"/>
      <c r="F19" s="55">
        <v>17</v>
      </c>
      <c r="G19" s="55">
        <v>17</v>
      </c>
      <c r="H19" s="55">
        <v>17</v>
      </c>
      <c r="I19" s="55">
        <v>0</v>
      </c>
      <c r="J19" s="55">
        <v>0</v>
      </c>
      <c r="K19" s="1"/>
      <c r="L19" s="1">
        <v>145</v>
      </c>
    </row>
    <row r="20" spans="1:12" x14ac:dyDescent="0.35">
      <c r="A20" s="50" t="s">
        <v>56</v>
      </c>
      <c r="B20" s="1" t="s">
        <v>110</v>
      </c>
      <c r="C20" s="1" t="s">
        <v>52</v>
      </c>
      <c r="D20" s="184"/>
      <c r="E20" s="184"/>
      <c r="F20" s="55">
        <v>12</v>
      </c>
      <c r="G20" s="55">
        <v>6</v>
      </c>
      <c r="H20" s="55">
        <v>22</v>
      </c>
      <c r="I20" s="55">
        <v>0</v>
      </c>
      <c r="J20" s="55">
        <v>0</v>
      </c>
      <c r="K20" s="1"/>
      <c r="L20" s="1">
        <v>207</v>
      </c>
    </row>
    <row r="21" spans="1:12" x14ac:dyDescent="0.35">
      <c r="A21" s="50" t="s">
        <v>117</v>
      </c>
      <c r="B21" s="1" t="s">
        <v>110</v>
      </c>
      <c r="C21" s="1" t="s">
        <v>52</v>
      </c>
      <c r="D21" s="184"/>
      <c r="E21" s="184"/>
      <c r="F21" s="55">
        <v>33</v>
      </c>
      <c r="G21" s="55">
        <v>0</v>
      </c>
      <c r="H21" s="55">
        <v>0</v>
      </c>
      <c r="I21" s="55">
        <v>0</v>
      </c>
      <c r="J21" s="55">
        <v>0</v>
      </c>
      <c r="K21" s="1"/>
      <c r="L21" s="1">
        <v>146</v>
      </c>
    </row>
    <row r="22" spans="1:12" x14ac:dyDescent="0.35">
      <c r="A22" s="50" t="s">
        <v>140</v>
      </c>
      <c r="B22" s="1" t="s">
        <v>49</v>
      </c>
      <c r="C22" s="1" t="s">
        <v>50</v>
      </c>
      <c r="D22" s="184">
        <v>14.9</v>
      </c>
      <c r="E22" s="184">
        <v>80</v>
      </c>
      <c r="F22" s="55">
        <v>2.2999999999999998</v>
      </c>
      <c r="G22" s="55">
        <v>4.2</v>
      </c>
      <c r="H22" s="55">
        <v>0.28999999999999998</v>
      </c>
      <c r="I22" s="55">
        <v>9.8000000000000004E-2</v>
      </c>
      <c r="J22" s="55">
        <v>0.03</v>
      </c>
      <c r="K22" s="1"/>
      <c r="L22" s="1">
        <v>984</v>
      </c>
    </row>
    <row r="23" spans="1:12" x14ac:dyDescent="0.35">
      <c r="A23" s="50" t="s">
        <v>59</v>
      </c>
      <c r="B23" s="1" t="s">
        <v>110</v>
      </c>
      <c r="C23" s="1" t="s">
        <v>52</v>
      </c>
      <c r="D23" s="184"/>
      <c r="E23" s="184"/>
      <c r="F23" s="55">
        <v>15</v>
      </c>
      <c r="G23" s="55">
        <v>0</v>
      </c>
      <c r="H23" s="55">
        <v>0</v>
      </c>
      <c r="I23" s="55">
        <v>26.5</v>
      </c>
      <c r="J23" s="55">
        <v>0</v>
      </c>
      <c r="K23" s="1"/>
      <c r="L23" s="1">
        <v>123</v>
      </c>
    </row>
    <row r="24" spans="1:12" x14ac:dyDescent="0.35">
      <c r="A24" s="50" t="s">
        <v>118</v>
      </c>
      <c r="B24" s="1" t="s">
        <v>110</v>
      </c>
      <c r="C24" s="1" t="s">
        <v>52</v>
      </c>
      <c r="D24" s="184"/>
      <c r="E24" s="184"/>
      <c r="F24" s="55">
        <v>10</v>
      </c>
      <c r="G24" s="55">
        <v>5</v>
      </c>
      <c r="H24" s="55">
        <v>20</v>
      </c>
      <c r="I24" s="55">
        <v>0</v>
      </c>
      <c r="J24" s="55">
        <v>4</v>
      </c>
      <c r="K24" s="1"/>
      <c r="L24" s="1">
        <v>180</v>
      </c>
    </row>
    <row r="25" spans="1:12" x14ac:dyDescent="0.35">
      <c r="A25" s="50" t="s">
        <v>119</v>
      </c>
      <c r="B25" s="1" t="s">
        <v>113</v>
      </c>
      <c r="C25" s="1" t="s">
        <v>52</v>
      </c>
      <c r="D25" s="184"/>
      <c r="E25" s="184"/>
      <c r="F25" s="55">
        <v>5</v>
      </c>
      <c r="G25" s="55">
        <v>7</v>
      </c>
      <c r="H25" s="55">
        <v>0</v>
      </c>
      <c r="I25" s="55">
        <v>0</v>
      </c>
      <c r="J25" s="55">
        <v>0</v>
      </c>
      <c r="K25" s="1"/>
      <c r="L25" s="1">
        <v>88</v>
      </c>
    </row>
    <row r="26" spans="1:12" x14ac:dyDescent="0.35">
      <c r="A26" s="50" t="s">
        <v>112</v>
      </c>
      <c r="B26" s="1" t="s">
        <v>111</v>
      </c>
      <c r="C26" s="1" t="s">
        <v>50</v>
      </c>
      <c r="D26" s="184"/>
      <c r="E26" s="184"/>
      <c r="F26" s="55">
        <v>0</v>
      </c>
      <c r="G26" s="55">
        <v>27</v>
      </c>
      <c r="H26" s="55">
        <v>0</v>
      </c>
      <c r="I26" s="55">
        <v>45</v>
      </c>
      <c r="J26" s="55">
        <v>0</v>
      </c>
      <c r="K26" s="1"/>
      <c r="L26" s="1">
        <v>121</v>
      </c>
    </row>
    <row r="27" spans="1:12" x14ac:dyDescent="0.35">
      <c r="A27" s="50" t="s">
        <v>120</v>
      </c>
      <c r="B27" s="1" t="s">
        <v>110</v>
      </c>
      <c r="C27" s="1" t="s">
        <v>52</v>
      </c>
      <c r="D27" s="184"/>
      <c r="E27" s="184"/>
      <c r="F27" s="55">
        <v>3</v>
      </c>
      <c r="G27" s="55">
        <v>22</v>
      </c>
      <c r="H27" s="55">
        <v>0</v>
      </c>
      <c r="I27" s="55">
        <v>0</v>
      </c>
      <c r="J27" s="55">
        <v>0</v>
      </c>
      <c r="K27" s="1"/>
      <c r="L27" s="1">
        <v>129</v>
      </c>
    </row>
    <row r="28" spans="1:12" x14ac:dyDescent="0.35">
      <c r="A28" s="50" t="s">
        <v>123</v>
      </c>
      <c r="B28" s="1" t="s">
        <v>113</v>
      </c>
      <c r="C28" s="1" t="s">
        <v>50</v>
      </c>
      <c r="D28" s="184"/>
      <c r="E28" s="184"/>
      <c r="F28" s="55">
        <v>6</v>
      </c>
      <c r="G28" s="55">
        <v>4</v>
      </c>
      <c r="H28" s="55">
        <v>11</v>
      </c>
      <c r="I28" s="55">
        <v>0</v>
      </c>
      <c r="J28" s="55">
        <v>0</v>
      </c>
      <c r="K28" s="1"/>
      <c r="L28" s="1">
        <v>166</v>
      </c>
    </row>
    <row r="29" spans="1:12" x14ac:dyDescent="0.35">
      <c r="A29" s="50" t="s">
        <v>124</v>
      </c>
      <c r="B29" s="1" t="s">
        <v>113</v>
      </c>
      <c r="C29" s="1" t="s">
        <v>50</v>
      </c>
      <c r="D29" s="184"/>
      <c r="E29" s="184"/>
      <c r="F29" s="55">
        <v>5</v>
      </c>
      <c r="G29" s="55">
        <v>8</v>
      </c>
      <c r="H29" s="55">
        <v>11</v>
      </c>
      <c r="I29" s="55">
        <v>0</v>
      </c>
      <c r="J29" s="55">
        <v>0</v>
      </c>
      <c r="K29" s="1"/>
      <c r="L29" s="1">
        <v>164</v>
      </c>
    </row>
    <row r="30" spans="1:12" x14ac:dyDescent="0.35">
      <c r="A30" s="50" t="s">
        <v>114</v>
      </c>
      <c r="B30" s="1" t="s">
        <v>110</v>
      </c>
      <c r="C30" s="1" t="s">
        <v>52</v>
      </c>
      <c r="D30" s="184"/>
      <c r="E30" s="184"/>
      <c r="F30" s="55">
        <v>17</v>
      </c>
      <c r="G30" s="55">
        <v>17</v>
      </c>
      <c r="H30" s="55">
        <v>17</v>
      </c>
      <c r="I30" s="55">
        <v>0</v>
      </c>
      <c r="J30" s="55">
        <v>0</v>
      </c>
      <c r="K30" s="1"/>
      <c r="L30" s="1">
        <v>136</v>
      </c>
    </row>
    <row r="31" spans="1:12" x14ac:dyDescent="0.35">
      <c r="A31" s="50" t="s">
        <v>125</v>
      </c>
      <c r="B31" s="1" t="s">
        <v>110</v>
      </c>
      <c r="C31" s="1" t="s">
        <v>52</v>
      </c>
      <c r="D31" s="184"/>
      <c r="E31" s="184"/>
      <c r="F31" s="55">
        <v>14</v>
      </c>
      <c r="G31" s="55">
        <v>40</v>
      </c>
      <c r="H31" s="55">
        <v>5</v>
      </c>
      <c r="I31" s="55">
        <v>0</v>
      </c>
      <c r="J31" s="55">
        <v>0</v>
      </c>
      <c r="K31" s="1"/>
      <c r="L31" s="1">
        <v>371</v>
      </c>
    </row>
    <row r="32" spans="1:12" x14ac:dyDescent="0.35">
      <c r="A32" s="50" t="s">
        <v>126</v>
      </c>
      <c r="B32" s="1" t="s">
        <v>110</v>
      </c>
      <c r="C32" s="1" t="s">
        <v>52</v>
      </c>
      <c r="D32" s="184"/>
      <c r="E32" s="184"/>
      <c r="F32" s="55">
        <v>15</v>
      </c>
      <c r="G32" s="55">
        <v>0</v>
      </c>
      <c r="H32" s="55">
        <v>9</v>
      </c>
      <c r="I32" s="55">
        <v>0</v>
      </c>
      <c r="J32" s="55">
        <v>0</v>
      </c>
      <c r="K32" s="1"/>
      <c r="L32" s="1">
        <v>271</v>
      </c>
    </row>
    <row r="33" spans="1:12" x14ac:dyDescent="0.35">
      <c r="A33" s="50" t="s">
        <v>60</v>
      </c>
      <c r="B33" s="1" t="s">
        <v>110</v>
      </c>
      <c r="C33" s="1" t="s">
        <v>52</v>
      </c>
      <c r="D33" s="184"/>
      <c r="E33" s="184"/>
      <c r="F33" s="55">
        <v>8</v>
      </c>
      <c r="G33" s="55">
        <v>16</v>
      </c>
      <c r="H33" s="55">
        <v>42</v>
      </c>
      <c r="I33" s="55">
        <v>0</v>
      </c>
      <c r="J33" s="55">
        <v>0</v>
      </c>
      <c r="K33" s="1"/>
      <c r="L33" s="1">
        <v>350</v>
      </c>
    </row>
    <row r="34" spans="1:12" x14ac:dyDescent="0.35">
      <c r="A34" s="50" t="s">
        <v>129</v>
      </c>
      <c r="B34" s="1" t="s">
        <v>110</v>
      </c>
      <c r="C34" s="1" t="s">
        <v>52</v>
      </c>
      <c r="D34" s="184"/>
      <c r="E34" s="184"/>
      <c r="F34" s="55">
        <v>5</v>
      </c>
      <c r="G34" s="55">
        <v>10</v>
      </c>
      <c r="H34" s="55">
        <v>25</v>
      </c>
      <c r="I34" s="55">
        <v>0</v>
      </c>
      <c r="J34" s="55">
        <v>0</v>
      </c>
      <c r="K34" s="1"/>
      <c r="L34" s="1">
        <v>174</v>
      </c>
    </row>
    <row r="35" spans="1:12" x14ac:dyDescent="0.35">
      <c r="A35" s="50" t="s">
        <v>61</v>
      </c>
      <c r="B35" s="1" t="s">
        <v>110</v>
      </c>
      <c r="C35" s="1" t="s">
        <v>52</v>
      </c>
      <c r="D35" s="184"/>
      <c r="E35" s="184"/>
      <c r="F35" s="55">
        <v>16</v>
      </c>
      <c r="G35" s="55">
        <v>26</v>
      </c>
      <c r="H35" s="55">
        <v>0</v>
      </c>
      <c r="I35" s="55">
        <v>8</v>
      </c>
      <c r="J35" s="55">
        <v>0</v>
      </c>
      <c r="K35" s="1"/>
      <c r="L35" s="1">
        <v>136</v>
      </c>
    </row>
    <row r="36" spans="1:12" x14ac:dyDescent="0.35">
      <c r="A36" s="50" t="s">
        <v>127</v>
      </c>
      <c r="B36" s="1" t="s">
        <v>49</v>
      </c>
      <c r="C36" s="1"/>
      <c r="D36" s="184">
        <v>77.400000000000006</v>
      </c>
      <c r="E36" s="184">
        <v>31</v>
      </c>
      <c r="F36" s="55">
        <v>2.9</v>
      </c>
      <c r="G36" s="55">
        <v>4.2</v>
      </c>
      <c r="H36" s="55">
        <v>2.1</v>
      </c>
      <c r="I36" s="55">
        <v>0.19</v>
      </c>
      <c r="J36" s="55">
        <v>1.1200000000000001</v>
      </c>
      <c r="K36" s="1">
        <v>423</v>
      </c>
      <c r="L36" s="1"/>
    </row>
    <row r="37" spans="1:12" x14ac:dyDescent="0.35">
      <c r="A37" s="50" t="s">
        <v>130</v>
      </c>
      <c r="B37" s="1" t="s">
        <v>110</v>
      </c>
      <c r="C37" s="1" t="s">
        <v>52</v>
      </c>
      <c r="D37" s="184"/>
      <c r="E37" s="184"/>
      <c r="F37" s="55">
        <v>51</v>
      </c>
      <c r="G37" s="55">
        <v>34</v>
      </c>
      <c r="H37" s="55">
        <v>0</v>
      </c>
      <c r="I37" s="55">
        <v>0</v>
      </c>
      <c r="J37" s="55">
        <v>0</v>
      </c>
      <c r="K37" s="1"/>
      <c r="L37" s="1">
        <v>168</v>
      </c>
    </row>
    <row r="38" spans="1:12" x14ac:dyDescent="0.35">
      <c r="A38" s="50" t="s">
        <v>64</v>
      </c>
      <c r="B38" s="1" t="s">
        <v>110</v>
      </c>
      <c r="C38" s="1" t="s">
        <v>52</v>
      </c>
      <c r="D38" s="184"/>
      <c r="E38" s="184"/>
      <c r="F38" s="55">
        <v>15</v>
      </c>
      <c r="G38" s="55">
        <v>0</v>
      </c>
      <c r="H38" s="55">
        <v>0</v>
      </c>
      <c r="I38" s="55">
        <v>19</v>
      </c>
      <c r="J38" s="55">
        <v>0</v>
      </c>
      <c r="K38" s="1"/>
      <c r="L38" s="1">
        <v>91</v>
      </c>
    </row>
    <row r="39" spans="1:12" x14ac:dyDescent="0.35">
      <c r="A39" s="50" t="s">
        <v>65</v>
      </c>
      <c r="B39" s="1" t="s">
        <v>110</v>
      </c>
      <c r="C39" s="1" t="s">
        <v>52</v>
      </c>
      <c r="D39" s="184"/>
      <c r="E39" s="184"/>
      <c r="F39" s="55">
        <v>13</v>
      </c>
      <c r="G39" s="55">
        <v>0</v>
      </c>
      <c r="H39" s="55">
        <v>46</v>
      </c>
      <c r="I39" s="55">
        <v>0</v>
      </c>
      <c r="J39" s="55">
        <v>0</v>
      </c>
      <c r="K39" s="1"/>
      <c r="L39" s="1">
        <v>191</v>
      </c>
    </row>
    <row r="40" spans="1:12" x14ac:dyDescent="0.35">
      <c r="A40" s="50" t="s">
        <v>131</v>
      </c>
      <c r="B40" s="1" t="s">
        <v>110</v>
      </c>
      <c r="C40" s="1" t="s">
        <v>52</v>
      </c>
      <c r="D40" s="184"/>
      <c r="E40" s="184"/>
      <c r="F40" s="55">
        <v>8</v>
      </c>
      <c r="G40" s="55">
        <v>13</v>
      </c>
      <c r="H40" s="55">
        <v>36</v>
      </c>
      <c r="I40" s="55">
        <v>0</v>
      </c>
      <c r="J40" s="55">
        <v>0</v>
      </c>
      <c r="K40" s="1"/>
      <c r="L40" s="1">
        <v>418</v>
      </c>
    </row>
    <row r="41" spans="1:12" x14ac:dyDescent="0.35">
      <c r="A41" s="50" t="s">
        <v>132</v>
      </c>
      <c r="B41" s="1" t="s">
        <v>110</v>
      </c>
      <c r="C41" s="1" t="s">
        <v>52</v>
      </c>
      <c r="D41" s="184"/>
      <c r="E41" s="184"/>
      <c r="F41" s="55">
        <v>0</v>
      </c>
      <c r="G41" s="55">
        <v>10</v>
      </c>
      <c r="H41" s="55">
        <v>25</v>
      </c>
      <c r="I41" s="55">
        <v>0</v>
      </c>
      <c r="J41" s="55">
        <v>0</v>
      </c>
      <c r="K41" s="1"/>
      <c r="L41" s="1">
        <v>116</v>
      </c>
    </row>
    <row r="42" spans="1:12" x14ac:dyDescent="0.35">
      <c r="A42" s="7" t="s">
        <v>133</v>
      </c>
      <c r="B42" s="1" t="s">
        <v>111</v>
      </c>
      <c r="C42" s="1" t="s">
        <v>50</v>
      </c>
      <c r="D42" s="184"/>
      <c r="E42" s="184"/>
      <c r="F42" s="55">
        <v>0</v>
      </c>
      <c r="G42" s="55">
        <v>0</v>
      </c>
      <c r="H42" s="55">
        <v>0</v>
      </c>
      <c r="I42" s="55">
        <v>36</v>
      </c>
      <c r="J42" s="55">
        <v>2.5</v>
      </c>
      <c r="K42" s="1"/>
      <c r="L42" s="1">
        <v>89</v>
      </c>
    </row>
    <row r="43" spans="1:12" x14ac:dyDescent="0.35">
      <c r="A43" s="50" t="s">
        <v>134</v>
      </c>
      <c r="B43" s="1" t="s">
        <v>110</v>
      </c>
      <c r="C43" s="1" t="s">
        <v>52</v>
      </c>
      <c r="D43" s="184"/>
      <c r="E43" s="184"/>
      <c r="F43" s="55">
        <v>0</v>
      </c>
      <c r="G43" s="55">
        <v>0</v>
      </c>
      <c r="H43" s="55">
        <v>52</v>
      </c>
      <c r="I43" s="55">
        <v>0</v>
      </c>
      <c r="J43" s="55">
        <v>0</v>
      </c>
      <c r="K43" s="1"/>
      <c r="L43" s="1">
        <v>200</v>
      </c>
    </row>
    <row r="44" spans="1:12" x14ac:dyDescent="0.35">
      <c r="A44" s="50" t="s">
        <v>62</v>
      </c>
      <c r="B44" s="1" t="s">
        <v>110</v>
      </c>
      <c r="C44" s="1" t="s">
        <v>52</v>
      </c>
      <c r="D44" s="184"/>
      <c r="E44" s="184"/>
      <c r="F44" s="55">
        <v>0</v>
      </c>
      <c r="G44" s="55">
        <v>0</v>
      </c>
      <c r="H44" s="55">
        <v>50</v>
      </c>
      <c r="I44" s="55">
        <v>0</v>
      </c>
      <c r="J44" s="55">
        <v>0</v>
      </c>
      <c r="K44" s="1"/>
      <c r="L44" s="1">
        <v>154</v>
      </c>
    </row>
    <row r="45" spans="1:12" x14ac:dyDescent="0.35">
      <c r="A45" s="50" t="s">
        <v>135</v>
      </c>
      <c r="B45" s="1" t="s">
        <v>111</v>
      </c>
      <c r="C45" s="1" t="s">
        <v>50</v>
      </c>
      <c r="D45" s="184"/>
      <c r="E45" s="184"/>
      <c r="F45" s="55">
        <v>0</v>
      </c>
      <c r="G45" s="55">
        <v>0</v>
      </c>
      <c r="H45" s="55">
        <v>50</v>
      </c>
      <c r="I45" s="55">
        <v>0</v>
      </c>
      <c r="J45" s="55">
        <v>0</v>
      </c>
      <c r="K45" s="1"/>
      <c r="L45" s="1">
        <v>203</v>
      </c>
    </row>
    <row r="46" spans="1:12" x14ac:dyDescent="0.35">
      <c r="A46" s="50" t="s">
        <v>63</v>
      </c>
      <c r="B46" s="1" t="s">
        <v>110</v>
      </c>
      <c r="C46" s="1" t="s">
        <v>52</v>
      </c>
      <c r="D46" s="184"/>
      <c r="E46" s="184"/>
      <c r="F46" s="55">
        <v>0</v>
      </c>
      <c r="G46" s="55">
        <v>46</v>
      </c>
      <c r="H46" s="55">
        <v>0</v>
      </c>
      <c r="I46" s="55">
        <v>15</v>
      </c>
      <c r="J46" s="55">
        <v>0</v>
      </c>
      <c r="K46" s="1"/>
      <c r="L46" s="1">
        <v>126</v>
      </c>
    </row>
    <row r="47" spans="1:12" x14ac:dyDescent="0.35">
      <c r="A47" s="50" t="s">
        <v>136</v>
      </c>
      <c r="B47" s="1" t="s">
        <v>110</v>
      </c>
      <c r="C47" s="1" t="s">
        <v>52</v>
      </c>
      <c r="D47" s="184"/>
      <c r="E47" s="184"/>
      <c r="F47" s="55">
        <v>5</v>
      </c>
      <c r="G47" s="55">
        <v>15</v>
      </c>
      <c r="H47" s="55">
        <v>36</v>
      </c>
      <c r="I47" s="55">
        <v>0</v>
      </c>
      <c r="J47" s="55">
        <v>0</v>
      </c>
      <c r="K47" s="1"/>
      <c r="L47" s="1">
        <v>276</v>
      </c>
    </row>
    <row r="48" spans="1:12" x14ac:dyDescent="0.35">
      <c r="A48" s="50" t="s">
        <v>66</v>
      </c>
      <c r="B48" s="1" t="s">
        <v>110</v>
      </c>
      <c r="C48" s="1" t="s">
        <v>52</v>
      </c>
      <c r="D48" s="184"/>
      <c r="E48" s="184"/>
      <c r="F48" s="55">
        <v>46</v>
      </c>
      <c r="G48" s="55">
        <v>0</v>
      </c>
      <c r="H48" s="55">
        <v>0</v>
      </c>
      <c r="I48" s="55">
        <v>0</v>
      </c>
      <c r="J48" s="55">
        <v>0</v>
      </c>
      <c r="K48" s="1"/>
      <c r="L48" s="1">
        <v>122</v>
      </c>
    </row>
    <row r="49" spans="1:22" x14ac:dyDescent="0.35">
      <c r="B49" s="1"/>
      <c r="C49" s="1"/>
      <c r="F49" s="53"/>
      <c r="G49" s="53"/>
      <c r="H49" s="53"/>
      <c r="I49" s="54"/>
      <c r="J49" s="54"/>
      <c r="K49" s="1"/>
      <c r="L49" s="1"/>
    </row>
    <row r="50" spans="1:22" x14ac:dyDescent="0.35">
      <c r="B50" s="1"/>
      <c r="C50" s="1"/>
      <c r="F50" s="53"/>
      <c r="G50" s="53"/>
      <c r="H50" s="53"/>
      <c r="I50" s="54"/>
      <c r="J50" s="54"/>
      <c r="K50" s="1"/>
      <c r="L50" s="1"/>
    </row>
    <row r="51" spans="1:22" x14ac:dyDescent="0.35">
      <c r="A51" s="50"/>
      <c r="B51" s="1"/>
      <c r="C51" s="1"/>
      <c r="F51" s="53"/>
      <c r="G51" s="53"/>
      <c r="H51" s="53"/>
      <c r="I51" s="54"/>
      <c r="J51" s="54"/>
      <c r="K51" s="1"/>
      <c r="L51" s="1"/>
    </row>
    <row r="52" spans="1:22" ht="15.5" x14ac:dyDescent="0.35">
      <c r="A52" s="49" t="s">
        <v>67</v>
      </c>
      <c r="B52" s="17"/>
      <c r="C52" s="17"/>
      <c r="D52" s="17"/>
      <c r="E52" s="59"/>
      <c r="F52" s="59"/>
      <c r="G52" s="59"/>
      <c r="H52" s="59"/>
      <c r="I52" s="59"/>
      <c r="J52" s="17"/>
      <c r="K52" s="17"/>
      <c r="L52" s="17"/>
      <c r="M52" s="17"/>
    </row>
    <row r="53" spans="1:22" ht="15" thickBot="1" x14ac:dyDescent="0.4">
      <c r="F53" s="227" t="s">
        <v>43</v>
      </c>
      <c r="G53" s="227"/>
      <c r="H53" s="227"/>
      <c r="I53" s="227"/>
      <c r="J53" s="227"/>
    </row>
    <row r="54" spans="1:22" ht="29.4" customHeight="1" thickBot="1" x14ac:dyDescent="0.4">
      <c r="A54" s="51" t="s">
        <v>34</v>
      </c>
      <c r="B54" s="2" t="s">
        <v>44</v>
      </c>
      <c r="C54" s="10" t="s">
        <v>11</v>
      </c>
      <c r="D54" s="10" t="s">
        <v>45</v>
      </c>
      <c r="E54" s="10" t="s">
        <v>46</v>
      </c>
      <c r="F54" s="10" t="s">
        <v>1</v>
      </c>
      <c r="G54" s="10" t="s">
        <v>2</v>
      </c>
      <c r="H54" s="10" t="s">
        <v>3</v>
      </c>
      <c r="I54" s="10" t="s">
        <v>4</v>
      </c>
      <c r="J54" s="10" t="s">
        <v>12</v>
      </c>
      <c r="K54" s="10" t="s">
        <v>68</v>
      </c>
      <c r="L54" s="10" t="s">
        <v>48</v>
      </c>
      <c r="M54" s="10" t="s">
        <v>27</v>
      </c>
      <c r="N54" s="216" t="s">
        <v>157</v>
      </c>
      <c r="O54" s="217"/>
      <c r="P54" s="217"/>
      <c r="Q54" s="217"/>
      <c r="R54" s="218"/>
    </row>
    <row r="55" spans="1:22" ht="15.5" x14ac:dyDescent="0.35">
      <c r="A55" s="95" t="s">
        <v>150</v>
      </c>
      <c r="B55" s="1" t="s">
        <v>49</v>
      </c>
      <c r="C55" s="1" t="s">
        <v>50</v>
      </c>
      <c r="D55" s="184"/>
      <c r="E55" s="184"/>
      <c r="F55" s="184"/>
      <c r="G55" s="184"/>
      <c r="H55" s="184"/>
      <c r="I55" s="184"/>
      <c r="J55" s="185"/>
      <c r="K55" s="1"/>
      <c r="L55" s="1"/>
      <c r="M55" s="39" t="s">
        <v>96</v>
      </c>
      <c r="N55" s="228"/>
      <c r="O55" s="229"/>
      <c r="P55" s="229"/>
      <c r="Q55" s="229"/>
      <c r="R55" s="230"/>
      <c r="S55" s="56"/>
      <c r="T55" s="56"/>
      <c r="U55" s="56"/>
      <c r="V55" s="56"/>
    </row>
    <row r="56" spans="1:22" x14ac:dyDescent="0.35">
      <c r="A56" s="96" t="s">
        <v>151</v>
      </c>
      <c r="B56" s="1" t="s">
        <v>49</v>
      </c>
      <c r="C56" s="1" t="s">
        <v>50</v>
      </c>
      <c r="D56" s="184"/>
      <c r="E56" s="184"/>
      <c r="F56" s="183"/>
      <c r="G56" s="184"/>
      <c r="H56" s="184"/>
      <c r="I56" s="184"/>
      <c r="J56" s="185"/>
      <c r="K56" s="1"/>
      <c r="L56" s="1"/>
      <c r="M56" s="39" t="s">
        <v>96</v>
      </c>
      <c r="N56" s="219"/>
      <c r="O56" s="220"/>
      <c r="P56" s="220"/>
      <c r="Q56" s="220"/>
      <c r="R56" s="221"/>
    </row>
    <row r="57" spans="1:22" x14ac:dyDescent="0.35">
      <c r="A57" s="50" t="s">
        <v>153</v>
      </c>
      <c r="B57" s="1" t="s">
        <v>49</v>
      </c>
      <c r="C57" s="1" t="s">
        <v>50</v>
      </c>
      <c r="D57" s="184">
        <v>25.7</v>
      </c>
      <c r="E57" s="186">
        <v>75</v>
      </c>
      <c r="F57" s="183">
        <v>1.1000000000000001</v>
      </c>
      <c r="G57" s="184">
        <v>0.81</v>
      </c>
      <c r="H57" s="184">
        <v>0.82</v>
      </c>
      <c r="I57" s="184">
        <v>3.79</v>
      </c>
      <c r="J57" s="185">
        <v>1.69</v>
      </c>
      <c r="K57" s="1">
        <v>525</v>
      </c>
      <c r="L57" s="1">
        <v>20</v>
      </c>
      <c r="M57" s="39" t="s">
        <v>96</v>
      </c>
    </row>
    <row r="58" spans="1:22" x14ac:dyDescent="0.35">
      <c r="A58" s="179" t="s">
        <v>141</v>
      </c>
      <c r="B58" s="180" t="s">
        <v>49</v>
      </c>
      <c r="C58" s="180" t="s">
        <v>52</v>
      </c>
      <c r="D58" s="185">
        <v>63.2</v>
      </c>
      <c r="E58" s="185">
        <v>53.5</v>
      </c>
      <c r="F58" s="185">
        <v>2.7040000000000002</v>
      </c>
      <c r="G58" s="185">
        <v>1.401</v>
      </c>
      <c r="H58" s="185">
        <v>1.0746</v>
      </c>
      <c r="I58" s="185">
        <v>3.4466999999999999</v>
      </c>
      <c r="J58" s="185">
        <v>0.7228</v>
      </c>
      <c r="K58" s="180">
        <v>200</v>
      </c>
      <c r="L58" s="180"/>
      <c r="M58" s="39" t="s">
        <v>96</v>
      </c>
    </row>
    <row r="59" spans="1:22" x14ac:dyDescent="0.35">
      <c r="A59" s="39" t="s">
        <v>142</v>
      </c>
      <c r="B59" s="180" t="s">
        <v>49</v>
      </c>
      <c r="C59" s="180" t="s">
        <v>52</v>
      </c>
      <c r="D59" s="185">
        <v>39.1</v>
      </c>
      <c r="E59" s="185"/>
      <c r="F59" s="185">
        <v>2.27</v>
      </c>
      <c r="G59" s="185">
        <v>1.19</v>
      </c>
      <c r="H59" s="185">
        <v>1</v>
      </c>
      <c r="I59" s="185">
        <v>3.67</v>
      </c>
      <c r="J59" s="185">
        <v>0.73</v>
      </c>
      <c r="K59" s="180">
        <v>400</v>
      </c>
      <c r="L59" s="180"/>
      <c r="M59" s="39" t="s">
        <v>96</v>
      </c>
    </row>
    <row r="60" spans="1:22" x14ac:dyDescent="0.35">
      <c r="A60" t="s">
        <v>39</v>
      </c>
      <c r="B60" s="1" t="s">
        <v>49</v>
      </c>
      <c r="C60" s="1" t="s">
        <v>50</v>
      </c>
      <c r="D60" s="184">
        <v>61.3</v>
      </c>
      <c r="E60" s="184">
        <v>70</v>
      </c>
      <c r="F60" s="184">
        <v>2.1320000000000001</v>
      </c>
      <c r="G60" s="184">
        <v>0.26100000000000001</v>
      </c>
      <c r="H60" s="184">
        <v>1E-3</v>
      </c>
      <c r="I60" s="184">
        <v>0.58399999999999996</v>
      </c>
      <c r="J60" s="185">
        <v>0.104</v>
      </c>
      <c r="K60" s="1">
        <v>190</v>
      </c>
      <c r="L60" s="1"/>
      <c r="M60" s="39" t="s">
        <v>96</v>
      </c>
    </row>
    <row r="61" spans="1:22" x14ac:dyDescent="0.35">
      <c r="A61" s="50" t="s">
        <v>57</v>
      </c>
      <c r="B61" s="1" t="s">
        <v>111</v>
      </c>
      <c r="C61" s="1" t="s">
        <v>50</v>
      </c>
      <c r="D61" s="1"/>
      <c r="E61" s="1"/>
      <c r="F61" s="54">
        <v>0</v>
      </c>
      <c r="G61" s="54">
        <v>0.11</v>
      </c>
      <c r="H61" s="54">
        <v>1.3</v>
      </c>
      <c r="I61" s="54">
        <v>17.690000000000001</v>
      </c>
      <c r="J61" s="54">
        <v>0.83</v>
      </c>
      <c r="K61" s="1"/>
      <c r="L61" s="1">
        <v>1.84</v>
      </c>
      <c r="M61" s="39"/>
    </row>
    <row r="62" spans="1:22" x14ac:dyDescent="0.35">
      <c r="A62" s="50" t="s">
        <v>58</v>
      </c>
      <c r="B62" s="1" t="s">
        <v>111</v>
      </c>
      <c r="C62" s="1" t="s">
        <v>50</v>
      </c>
      <c r="D62" s="1"/>
      <c r="E62" s="1"/>
      <c r="F62" s="53">
        <v>0</v>
      </c>
      <c r="G62" s="53">
        <v>0</v>
      </c>
      <c r="H62" s="53">
        <v>0</v>
      </c>
      <c r="I62" s="54">
        <v>36</v>
      </c>
      <c r="J62" s="54">
        <v>1</v>
      </c>
      <c r="K62" s="1"/>
      <c r="L62" s="1">
        <v>72</v>
      </c>
      <c r="M62" s="39"/>
    </row>
    <row r="63" spans="1:22" x14ac:dyDescent="0.35">
      <c r="A63" s="50" t="s">
        <v>121</v>
      </c>
      <c r="B63" s="1" t="s">
        <v>111</v>
      </c>
      <c r="C63" s="1" t="s">
        <v>50</v>
      </c>
      <c r="D63" s="1"/>
      <c r="E63" s="1"/>
      <c r="F63" s="53">
        <v>0</v>
      </c>
      <c r="G63" s="53">
        <v>0</v>
      </c>
      <c r="H63" s="53">
        <v>0</v>
      </c>
      <c r="I63" s="54">
        <v>23.5</v>
      </c>
      <c r="J63" s="54">
        <v>0</v>
      </c>
      <c r="K63" s="1"/>
      <c r="L63" s="1">
        <v>43</v>
      </c>
      <c r="M63" s="39"/>
    </row>
    <row r="64" spans="1:22" x14ac:dyDescent="0.35">
      <c r="A64" s="50" t="s">
        <v>122</v>
      </c>
      <c r="B64" s="1" t="s">
        <v>111</v>
      </c>
      <c r="C64" s="1" t="s">
        <v>50</v>
      </c>
      <c r="D64" s="1"/>
      <c r="E64" s="1"/>
      <c r="F64" s="53">
        <v>0</v>
      </c>
      <c r="G64" s="53">
        <v>0</v>
      </c>
      <c r="H64" s="53">
        <v>0</v>
      </c>
      <c r="I64" s="54">
        <v>45</v>
      </c>
      <c r="J64" s="178">
        <v>0</v>
      </c>
      <c r="K64" s="1"/>
      <c r="L64" s="1">
        <v>82</v>
      </c>
      <c r="M64" s="39"/>
    </row>
    <row r="65" spans="1:13" x14ac:dyDescent="0.35">
      <c r="A65" s="50" t="s">
        <v>152</v>
      </c>
      <c r="B65" s="1" t="s">
        <v>49</v>
      </c>
      <c r="C65" s="1" t="s">
        <v>52</v>
      </c>
      <c r="D65" s="1">
        <v>46.6</v>
      </c>
      <c r="E65" s="1"/>
      <c r="F65" s="53">
        <v>0.49</v>
      </c>
      <c r="G65" s="53">
        <v>0.2</v>
      </c>
      <c r="H65" s="53">
        <v>0.42</v>
      </c>
      <c r="I65" s="54">
        <v>1.67</v>
      </c>
      <c r="J65" s="178">
        <v>0.85</v>
      </c>
      <c r="K65" s="1"/>
      <c r="L65" s="1">
        <v>4</v>
      </c>
      <c r="M65" s="39" t="s">
        <v>96</v>
      </c>
    </row>
    <row r="66" spans="1:13" x14ac:dyDescent="0.35">
      <c r="A66" s="50" t="s">
        <v>143</v>
      </c>
      <c r="B66" s="1" t="s">
        <v>49</v>
      </c>
      <c r="C66" s="1" t="s">
        <v>52</v>
      </c>
      <c r="D66" s="1">
        <v>79.5</v>
      </c>
      <c r="E66" s="1"/>
      <c r="F66" s="53">
        <v>5.6000000000000001E-2</v>
      </c>
      <c r="G66" s="53">
        <v>1.2999999999999999E-2</v>
      </c>
      <c r="H66" s="53">
        <v>0</v>
      </c>
      <c r="I66" s="54">
        <v>7.56</v>
      </c>
      <c r="J66" s="178">
        <v>0.11</v>
      </c>
      <c r="K66" s="1"/>
      <c r="L66" s="1">
        <v>0</v>
      </c>
      <c r="M66" s="39" t="s">
        <v>96</v>
      </c>
    </row>
    <row r="67" spans="1:13" s="169" customFormat="1" x14ac:dyDescent="0.35">
      <c r="A67" t="s">
        <v>40</v>
      </c>
      <c r="B67" s="1" t="s">
        <v>49</v>
      </c>
      <c r="C67" s="1" t="s">
        <v>52</v>
      </c>
      <c r="D67" s="184">
        <v>30.2</v>
      </c>
      <c r="E67" s="184">
        <v>84</v>
      </c>
      <c r="F67" s="184">
        <v>1.76</v>
      </c>
      <c r="G67" s="184">
        <v>1.92</v>
      </c>
      <c r="H67" s="184">
        <v>0.65887499999999999</v>
      </c>
      <c r="I67" s="184">
        <v>3.9812500000000002</v>
      </c>
      <c r="J67" s="185">
        <v>1.4</v>
      </c>
      <c r="K67" s="1">
        <v>600</v>
      </c>
      <c r="L67" s="1">
        <v>70</v>
      </c>
      <c r="M67" s="39" t="s">
        <v>96</v>
      </c>
    </row>
    <row r="68" spans="1:13" s="169" customForma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169" customFormat="1" x14ac:dyDescent="0.35">
      <c r="A69"/>
      <c r="B69"/>
      <c r="C69" s="23"/>
      <c r="D69"/>
      <c r="E69"/>
      <c r="F69"/>
      <c r="G69"/>
      <c r="H69"/>
      <c r="I69"/>
      <c r="J69"/>
      <c r="K69"/>
      <c r="L69"/>
      <c r="M69"/>
    </row>
    <row r="70" spans="1:13" s="169" customForma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169" customFormat="1" x14ac:dyDescent="0.35">
      <c r="A71"/>
      <c r="B71"/>
      <c r="C71"/>
      <c r="D71"/>
      <c r="E71"/>
      <c r="F71"/>
      <c r="G71"/>
      <c r="H71"/>
      <c r="I71"/>
      <c r="J71"/>
      <c r="K71"/>
      <c r="L71" t="s">
        <v>154</v>
      </c>
      <c r="M71">
        <v>1</v>
      </c>
    </row>
    <row r="72" spans="1:13" x14ac:dyDescent="0.35">
      <c r="L72" t="s">
        <v>77</v>
      </c>
      <c r="M72" t="s">
        <v>154</v>
      </c>
    </row>
  </sheetData>
  <mergeCells count="4">
    <mergeCell ref="F5:J5"/>
    <mergeCell ref="F53:J53"/>
    <mergeCell ref="N7:R8"/>
    <mergeCell ref="N54:R56"/>
  </mergeCells>
  <phoneticPr fontId="7" type="noConversion"/>
  <hyperlinks>
    <hyperlink ref="A2" r:id="rId1" location="guide" display="https://www.valorga.nc/les-amendement-et-engrais-organiques-locaux/ - guide" xr:uid="{183EC541-957C-4CE2-AA24-9C45986D8A2F}"/>
  </hyperlinks>
  <pageMargins left="0.7" right="0.7" top="0.75" bottom="0.75" header="0.3" footer="0.3"/>
  <ignoredErrors>
    <ignoredError sqref="A13 K13 K14 M13 M14 D13:E13 D14:E14" twoDigitTextYear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38167B973784B9174CE0ECEC08405" ma:contentTypeVersion="12" ma:contentTypeDescription="Create a new document." ma:contentTypeScope="" ma:versionID="a95f1f02fd8195631374e8ef0ab55b96">
  <xsd:schema xmlns:xsd="http://www.w3.org/2001/XMLSchema" xmlns:xs="http://www.w3.org/2001/XMLSchema" xmlns:p="http://schemas.microsoft.com/office/2006/metadata/properties" xmlns:ns2="d448e2c4-0bc8-40c2-85eb-84a404d158b2" xmlns:ns3="c91e3e00-e91c-48d9-a9d3-81acb6b976f0" targetNamespace="http://schemas.microsoft.com/office/2006/metadata/properties" ma:root="true" ma:fieldsID="1d800a51135f4092c84ef3e1ab5899f3" ns2:_="" ns3:_="">
    <xsd:import namespace="d448e2c4-0bc8-40c2-85eb-84a404d158b2"/>
    <xsd:import namespace="c91e3e00-e91c-48d9-a9d3-81acb6b97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8e2c4-0bc8-40c2-85eb-84a404d158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6795f7-97c2-41bb-89b5-390b04548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e3e00-e91c-48d9-a9d3-81acb6b976f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936824-5d2b-4d2f-9f21-6e0b831d3aaf}" ma:internalName="TaxCatchAll" ma:showField="CatchAllData" ma:web="c91e3e00-e91c-48d9-a9d3-81acb6b97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1e3e00-e91c-48d9-a9d3-81acb6b976f0" xsi:nil="true"/>
    <lcf76f155ced4ddcb4097134ff3c332f xmlns="d448e2c4-0bc8-40c2-85eb-84a404d158b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02EE0-5A23-485B-8F8A-CBF9E13E2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8e2c4-0bc8-40c2-85eb-84a404d158b2"/>
    <ds:schemaRef ds:uri="c91e3e00-e91c-48d9-a9d3-81acb6b97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4B6F9D-36A6-4488-ABF2-ADE0E723DFA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d448e2c4-0bc8-40c2-85eb-84a404d158b2"/>
    <ds:schemaRef ds:uri="http://schemas.microsoft.com/office/infopath/2007/PartnerControls"/>
    <ds:schemaRef ds:uri="c91e3e00-e91c-48d9-a9d3-81acb6b976f0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2F3A4B-1AF4-4D0F-B3F4-06531236F2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PRISE EN MAIN</vt:lpstr>
      <vt:lpstr>BILAN HUMIQUE</vt:lpstr>
      <vt:lpstr>AMENDEMENTS</vt:lpstr>
      <vt:lpstr>ENGRAIS</vt:lpstr>
      <vt:lpstr>LISTES DES PRODUITS</vt:lpstr>
      <vt:lpstr>Masse_terre_fine</vt:lpstr>
      <vt:lpstr>Surface</vt:lpstr>
      <vt:lpstr>Tx_argile</vt:lpstr>
      <vt:lpstr>Tx_MO</vt:lpstr>
      <vt:lpstr>Volume_terre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Utilisateur1</dc:creator>
  <cp:keywords/>
  <dc:description/>
  <cp:lastModifiedBy>JULIE DEFFIEUX</cp:lastModifiedBy>
  <cp:revision/>
  <dcterms:created xsi:type="dcterms:W3CDTF">2014-09-15T20:52:56Z</dcterms:created>
  <dcterms:modified xsi:type="dcterms:W3CDTF">2024-11-28T20:40:39Z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1586600</vt:r8>
  </property>
  <property fmtid="{D5CDD505-2E9C-101B-9397-08002B2CF9AE}" pid="3" name="ContentTypeId">
    <vt:lpwstr>0x0101007FE38167B973784B9174CE0ECEC08405</vt:lpwstr>
  </property>
  <property fmtid="{D5CDD505-2E9C-101B-9397-08002B2CF9AE}" pid="4" name="ComplianceAssetId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